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165" windowWidth="15480" windowHeight="9405" activeTab="1"/>
  </bookViews>
  <sheets>
    <sheet name="Képzettségek" sheetId="1" r:id="rId1"/>
    <sheet name="Iskolák KAP költségének meghat." sheetId="2" r:id="rId2"/>
  </sheets>
  <definedNames>
    <definedName name="_xlnm.Print_Area" localSheetId="1">'Iskolák KAP költségének meghat.'!$A$1:$C$25</definedName>
  </definedNames>
  <calcPr fullCalcOnLoad="1"/>
</workbook>
</file>

<file path=xl/sharedStrings.xml><?xml version="1.0" encoding="utf-8"?>
<sst xmlns="http://schemas.openxmlformats.org/spreadsheetml/2006/main" count="147" uniqueCount="140">
  <si>
    <t>Kp</t>
  </si>
  <si>
    <t>Képzettség</t>
  </si>
  <si>
    <t>1. fok</t>
  </si>
  <si>
    <t>2. fok</t>
  </si>
  <si>
    <t>3. fok</t>
  </si>
  <si>
    <t>4. fok</t>
  </si>
  <si>
    <t>5. fok</t>
  </si>
  <si>
    <t>Álcázás/álruha</t>
  </si>
  <si>
    <t>Alkímia</t>
  </si>
  <si>
    <t>Állatismeret</t>
  </si>
  <si>
    <t>Csapdaállítás</t>
  </si>
  <si>
    <t>Csomózás</t>
  </si>
  <si>
    <t>Démonológia</t>
  </si>
  <si>
    <t>Drágakőmágia</t>
  </si>
  <si>
    <t>Ékesszólás</t>
  </si>
  <si>
    <t>Élettan</t>
  </si>
  <si>
    <t>Építészet</t>
  </si>
  <si>
    <t>Értékbecslés</t>
  </si>
  <si>
    <t>Fájdalomtűrés</t>
  </si>
  <si>
    <t>Fegyverhasználat</t>
  </si>
  <si>
    <t>Fegyverismeret</t>
  </si>
  <si>
    <t>Futás</t>
  </si>
  <si>
    <t>Hadvezetés</t>
  </si>
  <si>
    <t>Hajózás</t>
  </si>
  <si>
    <t>Hamisítás</t>
  </si>
  <si>
    <t>Hangutánzás</t>
  </si>
  <si>
    <t>Harci láz</t>
  </si>
  <si>
    <t>Harcművészet</t>
  </si>
  <si>
    <t>Harctéri gyakorlat</t>
  </si>
  <si>
    <t>Helyismeret</t>
  </si>
  <si>
    <t>Herbalizmus</t>
  </si>
  <si>
    <t>Idomítás</t>
  </si>
  <si>
    <t>Időjóslás</t>
  </si>
  <si>
    <t>Írás/Olvasás</t>
  </si>
  <si>
    <t>Jelbeszéd</t>
  </si>
  <si>
    <t>Jog/Törvénykezés</t>
  </si>
  <si>
    <t>Kétkezes harc</t>
  </si>
  <si>
    <t>Kínzás</t>
  </si>
  <si>
    <t>Kocsihajtás</t>
  </si>
  <si>
    <t>Kocsmai verekedés</t>
  </si>
  <si>
    <t>Kultúra</t>
  </si>
  <si>
    <t>Legendaismeret</t>
  </si>
  <si>
    <t>Lélektan</t>
  </si>
  <si>
    <t>Lovaglás</t>
  </si>
  <si>
    <t>Magasmágia</t>
  </si>
  <si>
    <t>Mechanika</t>
  </si>
  <si>
    <t>Méregkeverés/seml.</t>
  </si>
  <si>
    <t>Művészetek</t>
  </si>
  <si>
    <t>Nekromancia</t>
  </si>
  <si>
    <t>Nyelvtudás</t>
  </si>
  <si>
    <t>Nyomolvasás</t>
  </si>
  <si>
    <t>Oktatás</t>
  </si>
  <si>
    <t>Orvoslás</t>
  </si>
  <si>
    <t>Orvtámadás</t>
  </si>
  <si>
    <t>Őselemi mágia</t>
  </si>
  <si>
    <t>Ősi nyelv</t>
  </si>
  <si>
    <t>Pajzshasználat</t>
  </si>
  <si>
    <t>Párbaj</t>
  </si>
  <si>
    <t>Politika/diplomácia</t>
  </si>
  <si>
    <t>Pszi</t>
  </si>
  <si>
    <t>Pusztakezes harc</t>
  </si>
  <si>
    <t>Pusztítás</t>
  </si>
  <si>
    <t>Rúnamágia</t>
  </si>
  <si>
    <t>Szabadulóművészet</t>
  </si>
  <si>
    <t>Szakma</t>
  </si>
  <si>
    <t>Számtan/Mértan</t>
  </si>
  <si>
    <t>Szerencsejáték</t>
  </si>
  <si>
    <t>Szexuális kultúra</t>
  </si>
  <si>
    <t>Színészet</t>
  </si>
  <si>
    <t>Taktika</t>
  </si>
  <si>
    <t>Tapasztalati mágia</t>
  </si>
  <si>
    <t>Térképészet</t>
  </si>
  <si>
    <t>Történelem</t>
  </si>
  <si>
    <t>Udvari etikett</t>
  </si>
  <si>
    <t>Úszás</t>
  </si>
  <si>
    <t>Vadonjárás</t>
  </si>
  <si>
    <t>Vakharc</t>
  </si>
  <si>
    <t>Vallásismeret</t>
  </si>
  <si>
    <t>Vértviselet</t>
  </si>
  <si>
    <t>IAP</t>
  </si>
  <si>
    <t>Kat.</t>
  </si>
  <si>
    <t>Heraldika</t>
  </si>
  <si>
    <t>Iskolák, Rendek, Klánok KAP költségének meghatározása</t>
  </si>
  <si>
    <t>érték</t>
  </si>
  <si>
    <t>Segédlet:</t>
  </si>
  <si>
    <r>
      <t xml:space="preserve">1. Induláskor kapott </t>
    </r>
    <r>
      <rPr>
        <b/>
        <sz val="10"/>
        <rFont val="Arial CE"/>
        <family val="2"/>
      </rPr>
      <t>Képzettségeknek</t>
    </r>
    <r>
      <rPr>
        <sz val="11"/>
        <color indexed="8"/>
        <rFont val="Calibri"/>
        <family val="2"/>
      </rPr>
      <t xml:space="preserve"> az oktatás bónuszaival csökkenetett </t>
    </r>
    <r>
      <rPr>
        <b/>
        <sz val="10"/>
        <rFont val="Arial CE"/>
        <family val="2"/>
      </rPr>
      <t>Kp értéke</t>
    </r>
    <r>
      <rPr>
        <sz val="11"/>
        <color indexed="8"/>
        <rFont val="Calibri"/>
        <family val="2"/>
      </rPr>
      <t>:</t>
    </r>
  </si>
  <si>
    <t>4. Fegyverzet és Felszerelés IAP értéke:</t>
  </si>
  <si>
    <r>
      <t xml:space="preserve">2. Induláskor (4. fokon) oktatott </t>
    </r>
    <r>
      <rPr>
        <b/>
        <sz val="10"/>
        <rFont val="Arial CE"/>
        <family val="2"/>
      </rPr>
      <t>Képzettségek Kategóriáinak összértéke</t>
    </r>
    <r>
      <rPr>
        <sz val="11"/>
        <color indexed="8"/>
        <rFont val="Calibri"/>
        <family val="2"/>
      </rPr>
      <t>:</t>
    </r>
  </si>
  <si>
    <t>1 IAP – egy fegyver</t>
  </si>
  <si>
    <r>
      <t xml:space="preserve">3. Induláskor kapott </t>
    </r>
    <r>
      <rPr>
        <b/>
        <sz val="10"/>
        <rFont val="Arial CE"/>
        <family val="2"/>
      </rPr>
      <t>Hátterek KAP értékének összege</t>
    </r>
    <r>
      <rPr>
        <sz val="11"/>
        <color indexed="8"/>
        <rFont val="Calibri"/>
        <family val="2"/>
      </rPr>
      <t>:</t>
    </r>
  </si>
  <si>
    <t>2 IAP – több fegyver</t>
  </si>
  <si>
    <r>
      <t>4. Induláskor kapott</t>
    </r>
    <r>
      <rPr>
        <b/>
        <sz val="10"/>
        <rFont val="Arial CE"/>
        <family val="2"/>
      </rPr>
      <t xml:space="preserve"> Fegyverzet és Felszerelés IAP értéke</t>
    </r>
    <r>
      <rPr>
        <sz val="11"/>
        <color indexed="8"/>
        <rFont val="Calibri"/>
        <family val="2"/>
      </rPr>
      <t>:</t>
    </r>
  </si>
  <si>
    <t>4 IAP – nem nehéz páncélzat és fegyverzet</t>
  </si>
  <si>
    <r>
      <t xml:space="preserve">5. </t>
    </r>
    <r>
      <rPr>
        <b/>
        <sz val="10"/>
        <rFont val="Arial CE"/>
        <family val="2"/>
      </rPr>
      <t>Társadalmi megbecsülés, tekintély IAP értéke</t>
    </r>
    <r>
      <rPr>
        <sz val="11"/>
        <color indexed="8"/>
        <rFont val="Calibri"/>
        <family val="2"/>
      </rPr>
      <t>:</t>
    </r>
  </si>
  <si>
    <t>6 IAP – fél- vagy teljes vért, fegyverzet, ló</t>
  </si>
  <si>
    <r>
      <t xml:space="preserve">6. Induláskor kapott különleges </t>
    </r>
    <r>
      <rPr>
        <b/>
        <sz val="10"/>
        <rFont val="Arial CE"/>
        <family val="2"/>
      </rPr>
      <t>Képességek</t>
    </r>
    <r>
      <rPr>
        <sz val="11"/>
        <color indexed="8"/>
        <rFont val="Calibri"/>
        <family val="2"/>
      </rPr>
      <t xml:space="preserve"> és speciális </t>
    </r>
    <r>
      <rPr>
        <b/>
        <sz val="10"/>
        <rFont val="Arial CE"/>
        <family val="2"/>
      </rPr>
      <t>Előnyök IAP értéke</t>
    </r>
    <r>
      <rPr>
        <sz val="11"/>
        <color indexed="8"/>
        <rFont val="Calibri"/>
        <family val="2"/>
      </rPr>
      <t>:</t>
    </r>
  </si>
  <si>
    <t>7/1. Későbbi Tsz-en kapott Előny vagy Képesség IAP értéke:</t>
  </si>
  <si>
    <t>5. Társadalmi megbecsülés IAP értéke:</t>
  </si>
  <si>
    <t xml:space="preserve">    - az a Tsz, amelytől rendelkezhet az Előnnyel:</t>
  </si>
  <si>
    <t>6 IAP – paplovag, varázsló</t>
  </si>
  <si>
    <t>7/2. Későbbi Tsz-en kapott Előny vagy Képesség IAP értéke:</t>
  </si>
  <si>
    <t>8 IAP – pap, nevezetes varázslórend</t>
  </si>
  <si>
    <t>7/3. Későbbi Tsz-en kapott Előny vagy Képesség IAP értéke:</t>
  </si>
  <si>
    <t>6. és 7. Képességek és Előnyök IAP értéke:</t>
  </si>
  <si>
    <t>2 IAP – elenyésző előny</t>
  </si>
  <si>
    <t>8/1. Későbbi Tsz-en oktatott képzettségek kategóriáinak összértéke:</t>
  </si>
  <si>
    <t>4 IAP – esetleges előny</t>
  </si>
  <si>
    <t xml:space="preserve">    - az Oktatás foka:</t>
  </si>
  <si>
    <t xml:space="preserve">6 IAP – komoly előny </t>
  </si>
  <si>
    <t xml:space="preserve">    - az a Tsz, amelytől részesülhet az említett oktatásban:</t>
  </si>
  <si>
    <t xml:space="preserve">8 IAP – jelentős előny </t>
  </si>
  <si>
    <t>8/2. Későbbi Tsz-en oktatott képzettségek kategóriáinak összértéke:</t>
  </si>
  <si>
    <t>10 IAP – rendkívül nagy előny</t>
  </si>
  <si>
    <t>9/1. Későbbi Tsz-en kapott Hátter(ek) KAP értékének összege:</t>
  </si>
  <si>
    <t xml:space="preserve">    - az a Tsz, amelyben megkapja az említett Hátter(ek)et:</t>
  </si>
  <si>
    <t>9/2. Későbbi Tsz-en kapott Hátter(ek) KAP értékének összege:</t>
  </si>
  <si>
    <t>Az Iskola, Rend vagy Klán KAP költsége:</t>
  </si>
  <si>
    <t>A program helyes használatához a KAP költség számítás teljes leírásának ismerete ajánlott!</t>
  </si>
  <si>
    <t>Összesen</t>
  </si>
  <si>
    <t>Akrobatika</t>
  </si>
  <si>
    <t>Csapdakeresés</t>
  </si>
  <si>
    <t>Esés</t>
  </si>
  <si>
    <t>Mászás</t>
  </si>
  <si>
    <t>Rejtőzködés</t>
  </si>
  <si>
    <t>Rejtekhely kutatás</t>
  </si>
  <si>
    <t>Veszélyérzék</t>
  </si>
  <si>
    <t>Zárnyitás</t>
  </si>
  <si>
    <t>Zsebmetszés</t>
  </si>
  <si>
    <t>Kategória</t>
  </si>
  <si>
    <t>Követelmény</t>
  </si>
  <si>
    <t>Megfelelő fok vagy 5-tel osztható % adható meg. Ha a képzettséget csak oktatják, akkor írj 0-át. Figyelj a képzettség követelményekre is.</t>
  </si>
  <si>
    <t>Lopódzás</t>
  </si>
  <si>
    <t>A többszörös képzettségek - fegyverhasználatok, nyelvtudások, stb. - további Kp igényét a "További Kp" oszlopban kézzel kell megadni.</t>
  </si>
  <si>
    <t>További Kp</t>
  </si>
  <si>
    <t xml:space="preserve"> + Kp</t>
  </si>
  <si>
    <t>fok vagy %</t>
  </si>
  <si>
    <t>Ez a táblázat kizárólag a 4. fokú Oktatás képzettség előnyeivel számol!</t>
  </si>
  <si>
    <t>Köv.</t>
  </si>
  <si>
    <t>db</t>
  </si>
  <si>
    <t>Összesen: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</si>
</sst>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2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i/>
      <sz val="11"/>
      <color indexed="16"/>
      <name val="Calibri"/>
      <family val="2"/>
    </font>
    <font>
      <i/>
      <sz val="10"/>
      <color indexed="1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55">
      <alignment/>
      <protection/>
    </xf>
    <xf numFmtId="0" fontId="4" fillId="0" borderId="0" xfId="55" applyFont="1" applyAlignment="1">
      <alignment horizontal="center"/>
      <protection/>
    </xf>
    <xf numFmtId="0" fontId="3" fillId="0" borderId="10" xfId="55" applyBorder="1">
      <alignment/>
      <protection/>
    </xf>
    <xf numFmtId="0" fontId="4" fillId="24" borderId="11" xfId="55" applyFont="1" applyFill="1" applyBorder="1" applyAlignment="1">
      <alignment horizontal="center"/>
      <protection/>
    </xf>
    <xf numFmtId="0" fontId="4" fillId="25" borderId="12" xfId="55" applyFont="1" applyFill="1" applyBorder="1" applyAlignment="1">
      <alignment horizontal="center"/>
      <protection/>
    </xf>
    <xf numFmtId="0" fontId="5" fillId="0" borderId="0" xfId="55" applyFont="1">
      <alignment/>
      <protection/>
    </xf>
    <xf numFmtId="0" fontId="3" fillId="0" borderId="13" xfId="55" applyBorder="1">
      <alignment/>
      <protection/>
    </xf>
    <xf numFmtId="0" fontId="3" fillId="25" borderId="14" xfId="55" applyFill="1" applyBorder="1">
      <alignment/>
      <protection/>
    </xf>
    <xf numFmtId="0" fontId="3" fillId="0" borderId="14" xfId="55" applyFill="1" applyBorder="1">
      <alignment/>
      <protection/>
    </xf>
    <xf numFmtId="0" fontId="3" fillId="0" borderId="15" xfId="55" applyFill="1" applyBorder="1">
      <alignment/>
      <protection/>
    </xf>
    <xf numFmtId="0" fontId="3" fillId="0" borderId="16" xfId="55" applyFill="1" applyBorder="1">
      <alignment/>
      <protection/>
    </xf>
    <xf numFmtId="0" fontId="4" fillId="0" borderId="17" xfId="55" applyFont="1" applyBorder="1" applyAlignment="1">
      <alignment horizontal="right"/>
      <protection/>
    </xf>
    <xf numFmtId="0" fontId="6" fillId="17" borderId="18" xfId="55" applyFont="1" applyFill="1" applyBorder="1" applyAlignment="1">
      <alignment horizontal="center"/>
      <protection/>
    </xf>
    <xf numFmtId="0" fontId="7" fillId="25" borderId="19" xfId="55" applyFont="1" applyFill="1" applyBorder="1">
      <alignment/>
      <protection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1" fontId="3" fillId="24" borderId="20" xfId="55" applyNumberFormat="1" applyFill="1" applyBorder="1">
      <alignment/>
      <protection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23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24" fillId="0" borderId="20" xfId="0" applyFont="1" applyBorder="1" applyAlignment="1">
      <alignment/>
    </xf>
    <xf numFmtId="0" fontId="27" fillId="0" borderId="20" xfId="0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2" fillId="0" borderId="20" xfId="0" applyFont="1" applyBorder="1" applyAlignment="1">
      <alignment horizontal="left"/>
    </xf>
    <xf numFmtId="1" fontId="0" fillId="0" borderId="20" xfId="0" applyNumberFormat="1" applyFont="1" applyBorder="1" applyAlignment="1">
      <alignment horizontal="center"/>
    </xf>
    <xf numFmtId="0" fontId="23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0" fillId="0" borderId="20" xfId="0" applyFont="1" applyBorder="1" applyAlignment="1">
      <alignment/>
    </xf>
    <xf numFmtId="1" fontId="31" fillId="0" borderId="20" xfId="0" applyNumberFormat="1" applyFont="1" applyBorder="1" applyAlignment="1">
      <alignment horizontal="center"/>
    </xf>
    <xf numFmtId="0" fontId="28" fillId="4" borderId="20" xfId="0" applyFont="1" applyFill="1" applyBorder="1" applyAlignment="1" applyProtection="1">
      <alignment/>
      <protection locked="0"/>
    </xf>
    <xf numFmtId="0" fontId="0" fillId="4" borderId="20" xfId="0" applyFill="1" applyBorder="1" applyAlignment="1" applyProtection="1">
      <alignment/>
      <protection locked="0"/>
    </xf>
    <xf numFmtId="0" fontId="3" fillId="24" borderId="20" xfId="55" applyFill="1" applyBorder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Followed Hyperlink" xfId="53"/>
    <cellStyle name="Neutral" xfId="54"/>
    <cellStyle name="Normal 2" xfId="55"/>
    <cellStyle name="Note" xfId="56"/>
    <cellStyle name="Output" xfId="57"/>
    <cellStyle name="Currency" xfId="58"/>
    <cellStyle name="Currency [0]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84</xdr:row>
      <xdr:rowOff>85725</xdr:rowOff>
    </xdr:from>
    <xdr:to>
      <xdr:col>8</xdr:col>
      <xdr:colOff>247650</xdr:colOff>
      <xdr:row>85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16087725"/>
          <a:ext cx="1066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25</xdr:row>
      <xdr:rowOff>85725</xdr:rowOff>
    </xdr:from>
    <xdr:to>
      <xdr:col>2</xdr:col>
      <xdr:colOff>552450</xdr:colOff>
      <xdr:row>27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362450"/>
          <a:ext cx="1066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R9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2" max="2" width="17.00390625" style="0" bestFit="1" customWidth="1"/>
    <col min="3" max="8" width="3.7109375" style="0" customWidth="1"/>
    <col min="9" max="13" width="5.28125" style="0" bestFit="1" customWidth="1"/>
    <col min="14" max="14" width="3.7109375" style="0" customWidth="1"/>
    <col min="15" max="16" width="9.00390625" style="15" customWidth="1"/>
    <col min="18" max="18" width="27.7109375" style="0" customWidth="1"/>
  </cols>
  <sheetData>
    <row r="1" spans="1:18" ht="15">
      <c r="A1" s="18" t="s">
        <v>135</v>
      </c>
      <c r="B1" s="18" t="s">
        <v>1</v>
      </c>
      <c r="C1" s="18" t="s">
        <v>137</v>
      </c>
      <c r="D1" s="18">
        <v>1</v>
      </c>
      <c r="E1" s="18">
        <v>2</v>
      </c>
      <c r="F1" s="18">
        <v>3</v>
      </c>
      <c r="G1" s="18">
        <v>4</v>
      </c>
      <c r="H1" s="18">
        <v>5</v>
      </c>
      <c r="I1" s="18" t="s">
        <v>2</v>
      </c>
      <c r="J1" s="18" t="s">
        <v>3</v>
      </c>
      <c r="K1" s="18" t="s">
        <v>4</v>
      </c>
      <c r="L1" s="18" t="s">
        <v>5</v>
      </c>
      <c r="M1" s="18" t="s">
        <v>6</v>
      </c>
      <c r="N1" s="19" t="s">
        <v>80</v>
      </c>
      <c r="O1" s="19" t="s">
        <v>118</v>
      </c>
      <c r="P1" s="19" t="s">
        <v>0</v>
      </c>
      <c r="Q1" s="18" t="s">
        <v>133</v>
      </c>
      <c r="R1" s="19" t="s">
        <v>129</v>
      </c>
    </row>
    <row r="2" spans="1:18" ht="15">
      <c r="A2" s="42"/>
      <c r="B2" s="21" t="s">
        <v>119</v>
      </c>
      <c r="C2" s="22"/>
      <c r="D2" s="18"/>
      <c r="E2" s="18"/>
      <c r="F2" s="18"/>
      <c r="G2" s="18"/>
      <c r="H2" s="18"/>
      <c r="I2" s="18"/>
      <c r="J2" s="18"/>
      <c r="K2" s="18"/>
      <c r="L2" s="18"/>
      <c r="M2" s="18"/>
      <c r="N2" s="21">
        <v>1</v>
      </c>
      <c r="O2" s="21">
        <f>IF(A2="","",N2)</f>
      </c>
      <c r="P2" s="21">
        <f>IF(A2&gt;0,A2/5,0)</f>
        <v>0</v>
      </c>
      <c r="Q2" s="43"/>
      <c r="R2" s="40"/>
    </row>
    <row r="3" spans="1:18" ht="15">
      <c r="A3" s="42"/>
      <c r="B3" s="23" t="s">
        <v>7</v>
      </c>
      <c r="C3" s="22"/>
      <c r="D3" s="23">
        <v>1</v>
      </c>
      <c r="E3" s="23">
        <v>3</v>
      </c>
      <c r="F3" s="23">
        <v>6</v>
      </c>
      <c r="G3" s="23">
        <v>14</v>
      </c>
      <c r="H3" s="23">
        <v>24</v>
      </c>
      <c r="I3" s="23">
        <v>1</v>
      </c>
      <c r="J3" s="23">
        <v>5</v>
      </c>
      <c r="K3" s="23">
        <v>10</v>
      </c>
      <c r="L3" s="23">
        <v>20</v>
      </c>
      <c r="M3" s="23">
        <v>30</v>
      </c>
      <c r="N3" s="23">
        <v>2</v>
      </c>
      <c r="O3" s="21">
        <f aca="true" t="shared" si="0" ref="O3:O66">IF(A3="","",N3)</f>
      </c>
      <c r="P3" s="21">
        <f>IF(A3&gt;0,HLOOKUP(A3,D1:H81,3,FALSE),0)</f>
        <v>0</v>
      </c>
      <c r="Q3" s="43"/>
      <c r="R3" s="40">
        <f>IF(O3="","","KultúraE")</f>
      </c>
    </row>
    <row r="4" spans="1:18" ht="15">
      <c r="A4" s="42"/>
      <c r="B4" s="23" t="s">
        <v>8</v>
      </c>
      <c r="C4" s="22">
        <f>IF(A47&lt;&gt;"","GY","")</f>
      </c>
      <c r="D4" s="23">
        <v>1</v>
      </c>
      <c r="E4" s="23">
        <v>5</v>
      </c>
      <c r="F4" s="23">
        <v>10</v>
      </c>
      <c r="G4" s="23">
        <v>23</v>
      </c>
      <c r="H4" s="23">
        <v>38</v>
      </c>
      <c r="I4" s="23">
        <v>2</v>
      </c>
      <c r="J4" s="23">
        <v>8</v>
      </c>
      <c r="K4" s="23">
        <v>15</v>
      </c>
      <c r="L4" s="23">
        <v>30</v>
      </c>
      <c r="M4" s="23">
        <v>45</v>
      </c>
      <c r="N4" s="23">
        <v>3</v>
      </c>
      <c r="O4" s="21">
        <f t="shared" si="0"/>
      </c>
      <c r="P4" s="21">
        <f>IF(A4&gt;0,HLOOKUP(A4,D1:H81,4,FALSE),0)</f>
        <v>0</v>
      </c>
      <c r="Q4" s="43"/>
      <c r="R4" s="40">
        <f>IF(O4="","","SzámtanE")</f>
      </c>
    </row>
    <row r="5" spans="1:18" ht="15">
      <c r="A5" s="42"/>
      <c r="B5" s="23" t="s">
        <v>9</v>
      </c>
      <c r="C5" s="22">
        <f>IF(A30&lt;&gt;"","E",IF(OR(A37&lt;&gt;"",A43&lt;&gt;"",A78&lt;&gt;""),"GY",""))</f>
      </c>
      <c r="D5" s="23">
        <v>1</v>
      </c>
      <c r="E5" s="23">
        <v>2</v>
      </c>
      <c r="F5" s="23">
        <v>5</v>
      </c>
      <c r="G5" s="23">
        <v>10</v>
      </c>
      <c r="H5" s="23">
        <v>20</v>
      </c>
      <c r="I5" s="23">
        <v>1</v>
      </c>
      <c r="J5" s="23">
        <v>3</v>
      </c>
      <c r="K5" s="23">
        <v>8</v>
      </c>
      <c r="L5" s="23">
        <v>15</v>
      </c>
      <c r="M5" s="23">
        <v>25</v>
      </c>
      <c r="N5" s="23">
        <v>1</v>
      </c>
      <c r="O5" s="21">
        <f t="shared" si="0"/>
      </c>
      <c r="P5" s="21">
        <f>IF(A5&gt;0,HLOOKUP(A5,D1:H81,5,FALSE),0)</f>
        <v>0</v>
      </c>
      <c r="Q5" s="43"/>
      <c r="R5" s="40"/>
    </row>
    <row r="6" spans="1:18" ht="15">
      <c r="A6" s="42"/>
      <c r="B6" s="23" t="s">
        <v>10</v>
      </c>
      <c r="C6" s="22"/>
      <c r="D6" s="23">
        <v>1</v>
      </c>
      <c r="E6" s="23">
        <v>3</v>
      </c>
      <c r="F6" s="23">
        <v>6</v>
      </c>
      <c r="G6" s="23">
        <v>14</v>
      </c>
      <c r="H6" s="23">
        <v>24</v>
      </c>
      <c r="I6" s="23">
        <v>1</v>
      </c>
      <c r="J6" s="23">
        <v>5</v>
      </c>
      <c r="K6" s="23">
        <v>10</v>
      </c>
      <c r="L6" s="23">
        <v>20</v>
      </c>
      <c r="M6" s="23">
        <v>30</v>
      </c>
      <c r="N6" s="23">
        <v>2</v>
      </c>
      <c r="O6" s="21">
        <f t="shared" si="0"/>
      </c>
      <c r="P6" s="21">
        <f>IF(A6&gt;0,HLOOKUP(A6,D1:H81,6,FALSE),0)</f>
        <v>0</v>
      </c>
      <c r="Q6" s="43"/>
      <c r="R6" s="40">
        <f>IF(O6="","","CsomózásGY MechnikaGY")</f>
      </c>
    </row>
    <row r="7" spans="1:18" ht="15">
      <c r="A7" s="42"/>
      <c r="B7" s="23" t="s">
        <v>120</v>
      </c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>
        <v>1</v>
      </c>
      <c r="O7" s="21">
        <f t="shared" si="0"/>
      </c>
      <c r="P7" s="21">
        <f>IF(A7&gt;0,A7/5,0)</f>
        <v>0</v>
      </c>
      <c r="Q7" s="43"/>
      <c r="R7" s="40"/>
    </row>
    <row r="8" spans="1:18" ht="15">
      <c r="A8" s="42"/>
      <c r="B8" s="23" t="s">
        <v>11</v>
      </c>
      <c r="C8" s="22">
        <f>IF(A66&lt;&gt;"","E",IF(A6&lt;&gt;"","GY",""))</f>
      </c>
      <c r="D8" s="23">
        <v>1</v>
      </c>
      <c r="E8" s="23">
        <v>3</v>
      </c>
      <c r="F8" s="23">
        <v>6</v>
      </c>
      <c r="G8" s="23">
        <v>14</v>
      </c>
      <c r="H8" s="23">
        <v>24</v>
      </c>
      <c r="I8" s="23">
        <v>1</v>
      </c>
      <c r="J8" s="23">
        <v>5</v>
      </c>
      <c r="K8" s="23">
        <v>10</v>
      </c>
      <c r="L8" s="23">
        <v>20</v>
      </c>
      <c r="M8" s="23">
        <v>30</v>
      </c>
      <c r="N8" s="23">
        <v>2</v>
      </c>
      <c r="O8" s="21">
        <f t="shared" si="0"/>
      </c>
      <c r="P8" s="21">
        <f>IF(A8&gt;0,HLOOKUP(A8,D1:H81,8,FALSE),0)</f>
        <v>0</v>
      </c>
      <c r="Q8" s="43"/>
      <c r="R8" s="40"/>
    </row>
    <row r="9" spans="1:18" ht="15">
      <c r="A9" s="42"/>
      <c r="B9" s="23" t="s">
        <v>12</v>
      </c>
      <c r="C9" s="22"/>
      <c r="D9" s="23">
        <v>1</v>
      </c>
      <c r="E9" s="23">
        <v>6</v>
      </c>
      <c r="F9" s="23">
        <v>14</v>
      </c>
      <c r="G9" s="23">
        <v>27</v>
      </c>
      <c r="H9" s="23">
        <v>47</v>
      </c>
      <c r="I9" s="23">
        <v>3</v>
      </c>
      <c r="J9" s="23">
        <v>10</v>
      </c>
      <c r="K9" s="23">
        <v>20</v>
      </c>
      <c r="L9" s="23">
        <v>35</v>
      </c>
      <c r="M9" s="23">
        <v>55</v>
      </c>
      <c r="N9" s="23">
        <v>4</v>
      </c>
      <c r="O9" s="21">
        <f t="shared" si="0"/>
      </c>
      <c r="P9" s="21">
        <f>IF(A9&gt;0,HLOOKUP(A9,D1:H81,9,FALSE),0)</f>
        <v>0</v>
      </c>
      <c r="Q9" s="43"/>
      <c r="R9" s="40">
        <f>IF(O9="","","Ősi nyelvE")</f>
      </c>
    </row>
    <row r="10" spans="1:18" ht="15">
      <c r="A10" s="42"/>
      <c r="B10" s="23" t="s">
        <v>13</v>
      </c>
      <c r="C10" s="22"/>
      <c r="D10" s="23">
        <v>1</v>
      </c>
      <c r="E10" s="23">
        <v>6</v>
      </c>
      <c r="F10" s="23">
        <v>14</v>
      </c>
      <c r="G10" s="23">
        <v>27</v>
      </c>
      <c r="H10" s="23">
        <v>47</v>
      </c>
      <c r="I10" s="23">
        <v>3</v>
      </c>
      <c r="J10" s="23">
        <v>10</v>
      </c>
      <c r="K10" s="23">
        <v>20</v>
      </c>
      <c r="L10" s="23">
        <v>35</v>
      </c>
      <c r="M10" s="23">
        <v>55</v>
      </c>
      <c r="N10" s="23">
        <v>4</v>
      </c>
      <c r="O10" s="21">
        <f t="shared" si="0"/>
      </c>
      <c r="P10" s="21">
        <f>IF(A10&gt;0,HLOOKUP(A10,D1:H81,10,FALSE),0)</f>
        <v>0</v>
      </c>
      <c r="Q10" s="43"/>
      <c r="R10" s="40">
        <f>IF(O10="","","SzakmaSpec")</f>
      </c>
    </row>
    <row r="11" spans="1:18" ht="15">
      <c r="A11" s="42"/>
      <c r="B11" s="23" t="s">
        <v>14</v>
      </c>
      <c r="C11" s="22"/>
      <c r="D11" s="23">
        <v>1</v>
      </c>
      <c r="E11" s="23">
        <v>3</v>
      </c>
      <c r="F11" s="23">
        <v>6</v>
      </c>
      <c r="G11" s="23">
        <v>14</v>
      </c>
      <c r="H11" s="23">
        <v>24</v>
      </c>
      <c r="I11" s="23">
        <v>1</v>
      </c>
      <c r="J11" s="23">
        <v>5</v>
      </c>
      <c r="K11" s="23">
        <v>10</v>
      </c>
      <c r="L11" s="23">
        <v>20</v>
      </c>
      <c r="M11" s="23">
        <v>30</v>
      </c>
      <c r="N11" s="23">
        <v>2</v>
      </c>
      <c r="O11" s="21">
        <f t="shared" si="0"/>
      </c>
      <c r="P11" s="21">
        <f>IF(A11&gt;0,HLOOKUP(A11,D1:H81,11,FALSE),0)</f>
        <v>0</v>
      </c>
      <c r="Q11" s="43"/>
      <c r="R11" s="40">
        <f>IF(O11="","","KultúraE LélektanGY")</f>
      </c>
    </row>
    <row r="12" spans="1:18" ht="15">
      <c r="A12" s="42"/>
      <c r="B12" s="23" t="s">
        <v>15</v>
      </c>
      <c r="C12" s="22">
        <f>IF(OR(A49&lt;&gt;"",A53&lt;&gt;""),"E",IF(OR(A54&lt;&gt;"",A62&lt;&gt;""),"GY",""))</f>
      </c>
      <c r="D12" s="23">
        <v>1</v>
      </c>
      <c r="E12" s="23">
        <v>5</v>
      </c>
      <c r="F12" s="23">
        <v>10</v>
      </c>
      <c r="G12" s="23">
        <v>23</v>
      </c>
      <c r="H12" s="23">
        <v>38</v>
      </c>
      <c r="I12" s="23">
        <v>2</v>
      </c>
      <c r="J12" s="23">
        <v>8</v>
      </c>
      <c r="K12" s="23">
        <v>15</v>
      </c>
      <c r="L12" s="23">
        <v>30</v>
      </c>
      <c r="M12" s="23">
        <v>45</v>
      </c>
      <c r="N12" s="23">
        <v>3</v>
      </c>
      <c r="O12" s="21">
        <f t="shared" si="0"/>
      </c>
      <c r="P12" s="21">
        <f>IF(A12&gt;0,HLOOKUP(A12,D1:H81,12,FALSE),0)</f>
        <v>0</v>
      </c>
      <c r="Q12" s="43"/>
      <c r="R12" s="40">
        <f>IF(O12="","","Írás/olvasásGY")</f>
      </c>
    </row>
    <row r="13" spans="1:18" ht="15">
      <c r="A13" s="42"/>
      <c r="B13" s="23" t="s">
        <v>16</v>
      </c>
      <c r="C13" s="22"/>
      <c r="D13" s="23">
        <v>1</v>
      </c>
      <c r="E13" s="23">
        <v>5</v>
      </c>
      <c r="F13" s="23">
        <v>10</v>
      </c>
      <c r="G13" s="23">
        <v>23</v>
      </c>
      <c r="H13" s="23">
        <v>38</v>
      </c>
      <c r="I13" s="23">
        <v>2</v>
      </c>
      <c r="J13" s="23">
        <v>8</v>
      </c>
      <c r="K13" s="23">
        <v>15</v>
      </c>
      <c r="L13" s="23">
        <v>30</v>
      </c>
      <c r="M13" s="23">
        <v>45</v>
      </c>
      <c r="N13" s="23">
        <v>3</v>
      </c>
      <c r="O13" s="21">
        <f t="shared" si="0"/>
      </c>
      <c r="P13" s="21">
        <f>IF(A13&gt;0,HLOOKUP(A13,D1:H81,13,FALSE),0)</f>
        <v>0</v>
      </c>
      <c r="Q13" s="43"/>
      <c r="R13" s="40">
        <f>IF(O13="","","SzámtanE ÍrásGY")</f>
      </c>
    </row>
    <row r="14" spans="1:18" ht="15">
      <c r="A14" s="42"/>
      <c r="B14" s="23" t="s">
        <v>17</v>
      </c>
      <c r="C14" s="22"/>
      <c r="D14" s="23">
        <v>1</v>
      </c>
      <c r="E14" s="23">
        <v>2</v>
      </c>
      <c r="F14" s="23">
        <v>5</v>
      </c>
      <c r="G14" s="23">
        <v>10</v>
      </c>
      <c r="H14" s="23">
        <v>20</v>
      </c>
      <c r="I14" s="23">
        <v>1</v>
      </c>
      <c r="J14" s="23">
        <v>3</v>
      </c>
      <c r="K14" s="23">
        <v>8</v>
      </c>
      <c r="L14" s="23">
        <v>15</v>
      </c>
      <c r="M14" s="23">
        <v>25</v>
      </c>
      <c r="N14" s="23">
        <v>1</v>
      </c>
      <c r="O14" s="21">
        <f t="shared" si="0"/>
      </c>
      <c r="P14" s="21">
        <f>IF(A14&gt;0,HLOOKUP(A14,D1:H81,14,FALSE),0)</f>
        <v>0</v>
      </c>
      <c r="Q14" s="43"/>
      <c r="R14" s="40"/>
    </row>
    <row r="15" spans="1:18" ht="15">
      <c r="A15" s="42"/>
      <c r="B15" s="23" t="s">
        <v>121</v>
      </c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>
        <v>1</v>
      </c>
      <c r="O15" s="21">
        <f t="shared" si="0"/>
      </c>
      <c r="P15" s="21">
        <f>IF(A15&gt;0,A15/5,0)</f>
        <v>0</v>
      </c>
      <c r="Q15" s="43"/>
      <c r="R15" s="40"/>
    </row>
    <row r="16" spans="1:18" ht="15">
      <c r="A16" s="42"/>
      <c r="B16" s="23" t="s">
        <v>18</v>
      </c>
      <c r="C16" s="22"/>
      <c r="D16" s="23">
        <v>1</v>
      </c>
      <c r="E16" s="23">
        <v>3</v>
      </c>
      <c r="F16" s="23">
        <v>6</v>
      </c>
      <c r="G16" s="23">
        <v>14</v>
      </c>
      <c r="H16" s="23">
        <v>24</v>
      </c>
      <c r="I16" s="23">
        <v>1</v>
      </c>
      <c r="J16" s="23">
        <v>5</v>
      </c>
      <c r="K16" s="23">
        <v>10</v>
      </c>
      <c r="L16" s="23">
        <v>20</v>
      </c>
      <c r="M16" s="23">
        <v>30</v>
      </c>
      <c r="N16" s="23">
        <v>2</v>
      </c>
      <c r="O16" s="21">
        <f t="shared" si="0"/>
      </c>
      <c r="P16" s="21">
        <f>IF(A16&gt;0,HLOOKUP(A16,D1:H81,16,FALSE),0)</f>
        <v>0</v>
      </c>
      <c r="Q16" s="43"/>
      <c r="R16" s="40"/>
    </row>
    <row r="17" spans="1:18" ht="15">
      <c r="A17" s="42"/>
      <c r="B17" s="23" t="s">
        <v>19</v>
      </c>
      <c r="C17" s="22">
        <f>IF(OR(A35&lt;&gt;"",A54&lt;&gt;"",A62&lt;&gt;""),"E","")</f>
      </c>
      <c r="D17" s="23">
        <v>1</v>
      </c>
      <c r="E17" s="23">
        <v>5</v>
      </c>
      <c r="F17" s="23">
        <v>10</v>
      </c>
      <c r="G17" s="23">
        <v>23</v>
      </c>
      <c r="H17" s="23">
        <v>38</v>
      </c>
      <c r="I17" s="23">
        <v>2</v>
      </c>
      <c r="J17" s="23">
        <v>8</v>
      </c>
      <c r="K17" s="23">
        <v>15</v>
      </c>
      <c r="L17" s="23">
        <v>30</v>
      </c>
      <c r="M17" s="23">
        <v>45</v>
      </c>
      <c r="N17" s="23">
        <v>3</v>
      </c>
      <c r="O17" s="21">
        <f t="shared" si="0"/>
      </c>
      <c r="P17" s="21">
        <f>IF(A17&gt;0,HLOOKUP(A17,D1:H81,17,FALSE),0)</f>
        <v>0</v>
      </c>
      <c r="Q17" s="43"/>
      <c r="R17" s="40"/>
    </row>
    <row r="18" spans="1:18" ht="15">
      <c r="A18" s="42"/>
      <c r="B18" s="23" t="s">
        <v>20</v>
      </c>
      <c r="C18" s="22"/>
      <c r="D18" s="23">
        <v>1</v>
      </c>
      <c r="E18" s="23">
        <v>3</v>
      </c>
      <c r="F18" s="23">
        <v>6</v>
      </c>
      <c r="G18" s="23">
        <v>14</v>
      </c>
      <c r="H18" s="23">
        <v>24</v>
      </c>
      <c r="I18" s="23">
        <v>1</v>
      </c>
      <c r="J18" s="23">
        <v>5</v>
      </c>
      <c r="K18" s="23">
        <v>10</v>
      </c>
      <c r="L18" s="23">
        <v>20</v>
      </c>
      <c r="M18" s="23">
        <v>30</v>
      </c>
      <c r="N18" s="23">
        <v>2</v>
      </c>
      <c r="O18" s="21">
        <f t="shared" si="0"/>
      </c>
      <c r="P18" s="21">
        <f>IF(A18&gt;0,HLOOKUP(A18,D1:H81,18,FALSE),0)</f>
        <v>0</v>
      </c>
      <c r="Q18" s="43"/>
      <c r="R18" s="40"/>
    </row>
    <row r="19" spans="1:18" ht="15">
      <c r="A19" s="42"/>
      <c r="B19" s="23" t="s">
        <v>21</v>
      </c>
      <c r="C19" s="22"/>
      <c r="D19" s="23">
        <v>1</v>
      </c>
      <c r="E19" s="23">
        <v>2</v>
      </c>
      <c r="F19" s="23">
        <v>5</v>
      </c>
      <c r="G19" s="23">
        <v>10</v>
      </c>
      <c r="H19" s="23">
        <v>20</v>
      </c>
      <c r="I19" s="23">
        <v>1</v>
      </c>
      <c r="J19" s="23">
        <v>3</v>
      </c>
      <c r="K19" s="23">
        <v>8</v>
      </c>
      <c r="L19" s="23">
        <v>15</v>
      </c>
      <c r="M19" s="23">
        <v>25</v>
      </c>
      <c r="N19" s="23">
        <v>1</v>
      </c>
      <c r="O19" s="21">
        <f t="shared" si="0"/>
      </c>
      <c r="P19" s="21">
        <f>IF(A19&gt;0,HLOOKUP(A19,D1:H81,19,FALSE),0)</f>
        <v>0</v>
      </c>
      <c r="Q19" s="43"/>
      <c r="R19" s="40"/>
    </row>
    <row r="20" spans="1:18" ht="15">
      <c r="A20" s="42"/>
      <c r="B20" s="23" t="s">
        <v>22</v>
      </c>
      <c r="C20" s="22"/>
      <c r="D20" s="23">
        <v>1</v>
      </c>
      <c r="E20" s="23">
        <v>5</v>
      </c>
      <c r="F20" s="23">
        <v>10</v>
      </c>
      <c r="G20" s="23">
        <v>23</v>
      </c>
      <c r="H20" s="23">
        <v>38</v>
      </c>
      <c r="I20" s="23">
        <v>2</v>
      </c>
      <c r="J20" s="23">
        <v>8</v>
      </c>
      <c r="K20" s="23">
        <v>15</v>
      </c>
      <c r="L20" s="23">
        <v>30</v>
      </c>
      <c r="M20" s="23">
        <v>45</v>
      </c>
      <c r="N20" s="23">
        <v>3</v>
      </c>
      <c r="O20" s="21">
        <f t="shared" si="0"/>
      </c>
      <c r="P20" s="21">
        <f>IF(A20&gt;0,HLOOKUP(A20,D1:H81,20,FALSE),0)</f>
        <v>0</v>
      </c>
      <c r="Q20" s="43"/>
      <c r="R20" s="40">
        <f>IF(O20="","","LélektanGY TérképészetGY")</f>
      </c>
    </row>
    <row r="21" spans="1:18" ht="15">
      <c r="A21" s="42"/>
      <c r="B21" s="23" t="s">
        <v>23</v>
      </c>
      <c r="C21" s="22"/>
      <c r="D21" s="23">
        <v>1</v>
      </c>
      <c r="E21" s="23">
        <v>3</v>
      </c>
      <c r="F21" s="23">
        <v>6</v>
      </c>
      <c r="G21" s="23">
        <v>14</v>
      </c>
      <c r="H21" s="23">
        <v>24</v>
      </c>
      <c r="I21" s="23">
        <v>1</v>
      </c>
      <c r="J21" s="23">
        <v>5</v>
      </c>
      <c r="K21" s="23">
        <v>10</v>
      </c>
      <c r="L21" s="23">
        <v>20</v>
      </c>
      <c r="M21" s="23">
        <v>30</v>
      </c>
      <c r="N21" s="23">
        <v>2</v>
      </c>
      <c r="O21" s="21">
        <f t="shared" si="0"/>
      </c>
      <c r="P21" s="21">
        <f>IF(A21&gt;0,HLOOKUP(A21,D1:H81,21,FALSE),0)</f>
        <v>0</v>
      </c>
      <c r="Q21" s="43"/>
      <c r="R21" s="40">
        <f>IF(O21="","","spec")</f>
      </c>
    </row>
    <row r="22" spans="1:18" ht="15">
      <c r="A22" s="42"/>
      <c r="B22" s="23" t="s">
        <v>24</v>
      </c>
      <c r="C22" s="22"/>
      <c r="D22" s="23">
        <v>1</v>
      </c>
      <c r="E22" s="23">
        <v>5</v>
      </c>
      <c r="F22" s="23">
        <v>10</v>
      </c>
      <c r="G22" s="23">
        <v>23</v>
      </c>
      <c r="H22" s="23">
        <v>38</v>
      </c>
      <c r="I22" s="23">
        <v>2</v>
      </c>
      <c r="J22" s="23">
        <v>8</v>
      </c>
      <c r="K22" s="23">
        <v>15</v>
      </c>
      <c r="L22" s="23">
        <v>30</v>
      </c>
      <c r="M22" s="23">
        <v>45</v>
      </c>
      <c r="N22" s="23">
        <v>3</v>
      </c>
      <c r="O22" s="21">
        <f t="shared" si="0"/>
      </c>
      <c r="P22" s="21">
        <f>IF(A22&gt;0,HLOOKUP(A22,D1:H81,22,FALSE),0)</f>
        <v>0</v>
      </c>
      <c r="Q22" s="43"/>
      <c r="R22" s="40">
        <f>IF(O22="","","spec")</f>
      </c>
    </row>
    <row r="23" spans="1:18" ht="15">
      <c r="A23" s="42"/>
      <c r="B23" s="23" t="s">
        <v>25</v>
      </c>
      <c r="C23" s="22"/>
      <c r="D23" s="23">
        <v>1</v>
      </c>
      <c r="E23" s="23">
        <v>3</v>
      </c>
      <c r="F23" s="23">
        <v>6</v>
      </c>
      <c r="G23" s="23">
        <v>14</v>
      </c>
      <c r="H23" s="23">
        <v>24</v>
      </c>
      <c r="I23" s="23">
        <v>1</v>
      </c>
      <c r="J23" s="23">
        <v>5</v>
      </c>
      <c r="K23" s="23">
        <v>10</v>
      </c>
      <c r="L23" s="23">
        <v>20</v>
      </c>
      <c r="M23" s="23">
        <v>30</v>
      </c>
      <c r="N23" s="23">
        <v>2</v>
      </c>
      <c r="O23" s="21">
        <f t="shared" si="0"/>
      </c>
      <c r="P23" s="21">
        <f>IF(A23&gt;0,HLOOKUP(A23,D1:H81,23,FALSE),0)</f>
        <v>0</v>
      </c>
      <c r="Q23" s="43"/>
      <c r="R23" s="40">
        <f>IF(O23="","","spec")</f>
      </c>
    </row>
    <row r="24" spans="1:18" ht="15">
      <c r="A24" s="42"/>
      <c r="B24" s="23" t="s">
        <v>26</v>
      </c>
      <c r="C24" s="22"/>
      <c r="D24" s="23">
        <v>1</v>
      </c>
      <c r="E24" s="23">
        <v>3</v>
      </c>
      <c r="F24" s="23">
        <v>6</v>
      </c>
      <c r="G24" s="23">
        <v>14</v>
      </c>
      <c r="H24" s="23">
        <v>24</v>
      </c>
      <c r="I24" s="23">
        <v>1</v>
      </c>
      <c r="J24" s="23">
        <v>5</v>
      </c>
      <c r="K24" s="23">
        <v>10</v>
      </c>
      <c r="L24" s="23">
        <v>20</v>
      </c>
      <c r="M24" s="23">
        <v>30</v>
      </c>
      <c r="N24" s="23">
        <v>2</v>
      </c>
      <c r="O24" s="21">
        <f t="shared" si="0"/>
      </c>
      <c r="P24" s="21">
        <f>IF(A24&gt;0,HLOOKUP(A24,D1:H81,24,FALSE),0)</f>
        <v>0</v>
      </c>
      <c r="Q24" s="43"/>
      <c r="R24" s="40"/>
    </row>
    <row r="25" spans="1:18" ht="15">
      <c r="A25" s="42"/>
      <c r="B25" s="23" t="s">
        <v>27</v>
      </c>
      <c r="C25" s="22"/>
      <c r="D25" s="23">
        <v>1</v>
      </c>
      <c r="E25" s="23">
        <v>6</v>
      </c>
      <c r="F25" s="23">
        <v>14</v>
      </c>
      <c r="G25" s="23">
        <v>27</v>
      </c>
      <c r="H25" s="23">
        <v>47</v>
      </c>
      <c r="I25" s="23">
        <v>3</v>
      </c>
      <c r="J25" s="23">
        <v>10</v>
      </c>
      <c r="K25" s="23">
        <v>20</v>
      </c>
      <c r="L25" s="23">
        <v>35</v>
      </c>
      <c r="M25" s="23">
        <v>55</v>
      </c>
      <c r="N25" s="23">
        <v>4</v>
      </c>
      <c r="O25" s="21">
        <f t="shared" si="0"/>
      </c>
      <c r="P25" s="21">
        <f>IF(A25&gt;0,HLOOKUP(A25,D1:H81,25,FALSE),0)</f>
        <v>0</v>
      </c>
      <c r="Q25" s="43"/>
      <c r="R25" s="40"/>
    </row>
    <row r="26" spans="1:18" ht="15">
      <c r="A26" s="42"/>
      <c r="B26" s="23" t="s">
        <v>28</v>
      </c>
      <c r="C26" s="22"/>
      <c r="D26" s="23">
        <v>1</v>
      </c>
      <c r="E26" s="23">
        <v>3</v>
      </c>
      <c r="F26" s="23">
        <v>6</v>
      </c>
      <c r="G26" s="23">
        <v>14</v>
      </c>
      <c r="H26" s="23">
        <v>24</v>
      </c>
      <c r="I26" s="23">
        <v>1</v>
      </c>
      <c r="J26" s="23">
        <v>5</v>
      </c>
      <c r="K26" s="23">
        <v>10</v>
      </c>
      <c r="L26" s="23">
        <v>20</v>
      </c>
      <c r="M26" s="23">
        <v>30</v>
      </c>
      <c r="N26" s="23">
        <v>2</v>
      </c>
      <c r="O26" s="21">
        <f t="shared" si="0"/>
      </c>
      <c r="P26" s="21">
        <f>IF(A26&gt;0,HLOOKUP(A26,D1:H81,26,FALSE),0)</f>
        <v>0</v>
      </c>
      <c r="Q26" s="43"/>
      <c r="R26" s="40"/>
    </row>
    <row r="27" spans="1:18" ht="15">
      <c r="A27" s="42"/>
      <c r="B27" s="23" t="s">
        <v>29</v>
      </c>
      <c r="C27" s="22"/>
      <c r="D27" s="23">
        <v>1</v>
      </c>
      <c r="E27" s="23">
        <v>2</v>
      </c>
      <c r="F27" s="23">
        <v>5</v>
      </c>
      <c r="G27" s="23">
        <v>10</v>
      </c>
      <c r="H27" s="23">
        <v>20</v>
      </c>
      <c r="I27" s="23">
        <v>1</v>
      </c>
      <c r="J27" s="23">
        <v>3</v>
      </c>
      <c r="K27" s="23">
        <v>8</v>
      </c>
      <c r="L27" s="23">
        <v>15</v>
      </c>
      <c r="M27" s="23">
        <v>25</v>
      </c>
      <c r="N27" s="23">
        <v>1</v>
      </c>
      <c r="O27" s="21">
        <f t="shared" si="0"/>
      </c>
      <c r="P27" s="21">
        <f>IF(A27&gt;0,HLOOKUP(A27,D1:H81,27,FALSE),0)</f>
        <v>0</v>
      </c>
      <c r="Q27" s="43"/>
      <c r="R27" s="40"/>
    </row>
    <row r="28" spans="1:18" ht="15">
      <c r="A28" s="42"/>
      <c r="B28" s="24" t="s">
        <v>81</v>
      </c>
      <c r="C28" s="22"/>
      <c r="D28" s="23">
        <v>1</v>
      </c>
      <c r="E28" s="23">
        <v>3</v>
      </c>
      <c r="F28" s="23">
        <v>6</v>
      </c>
      <c r="G28" s="23">
        <v>14</v>
      </c>
      <c r="H28" s="23">
        <v>24</v>
      </c>
      <c r="I28" s="23">
        <v>1</v>
      </c>
      <c r="J28" s="23">
        <v>5</v>
      </c>
      <c r="K28" s="23">
        <v>10</v>
      </c>
      <c r="L28" s="23">
        <v>20</v>
      </c>
      <c r="M28" s="23">
        <v>30</v>
      </c>
      <c r="N28" s="23">
        <v>2</v>
      </c>
      <c r="O28" s="21">
        <f t="shared" si="0"/>
      </c>
      <c r="P28" s="21">
        <f>IF(A28&gt;0,HLOOKUP(A28,D1:H81,28,FALSE),0)</f>
        <v>0</v>
      </c>
      <c r="Q28" s="43"/>
      <c r="R28" s="40">
        <f>IF(O28="","","KultúraE")</f>
      </c>
    </row>
    <row r="29" spans="1:18" ht="15">
      <c r="A29" s="42"/>
      <c r="B29" s="23" t="s">
        <v>30</v>
      </c>
      <c r="C29" s="22">
        <f>IF(OR(A47&lt;&gt;"",A53&lt;&gt;""),"E",IF(A78&lt;&gt;"","GY",""))</f>
      </c>
      <c r="D29" s="23">
        <v>1</v>
      </c>
      <c r="E29" s="23">
        <v>3</v>
      </c>
      <c r="F29" s="23">
        <v>6</v>
      </c>
      <c r="G29" s="23">
        <v>14</v>
      </c>
      <c r="H29" s="23">
        <v>24</v>
      </c>
      <c r="I29" s="23">
        <v>1</v>
      </c>
      <c r="J29" s="23">
        <v>5</v>
      </c>
      <c r="K29" s="23">
        <v>10</v>
      </c>
      <c r="L29" s="23">
        <v>20</v>
      </c>
      <c r="M29" s="23">
        <v>30</v>
      </c>
      <c r="N29" s="23">
        <v>2</v>
      </c>
      <c r="O29" s="21">
        <f t="shared" si="0"/>
      </c>
      <c r="P29" s="21">
        <f>IF(A29&gt;0,HLOOKUP(A29,D1:H81,29,FALSE),0)</f>
        <v>0</v>
      </c>
      <c r="Q29" s="43"/>
      <c r="R29" s="40"/>
    </row>
    <row r="30" spans="1:18" ht="15">
      <c r="A30" s="42"/>
      <c r="B30" s="23" t="s">
        <v>31</v>
      </c>
      <c r="C30" s="22"/>
      <c r="D30" s="23">
        <v>1</v>
      </c>
      <c r="E30" s="23">
        <v>3</v>
      </c>
      <c r="F30" s="23">
        <v>6</v>
      </c>
      <c r="G30" s="23">
        <v>14</v>
      </c>
      <c r="H30" s="23">
        <v>24</v>
      </c>
      <c r="I30" s="23">
        <v>1</v>
      </c>
      <c r="J30" s="23">
        <v>5</v>
      </c>
      <c r="K30" s="23">
        <v>10</v>
      </c>
      <c r="L30" s="23">
        <v>20</v>
      </c>
      <c r="M30" s="23">
        <v>30</v>
      </c>
      <c r="N30" s="23">
        <v>2</v>
      </c>
      <c r="O30" s="21">
        <f t="shared" si="0"/>
      </c>
      <c r="P30" s="21">
        <f>IF(A30&gt;0,HLOOKUP(A30,D1:H81,30,FALSE),0)</f>
        <v>0</v>
      </c>
      <c r="Q30" s="43"/>
      <c r="R30" s="40">
        <f>IF(O30="","","ÁllatismeretE")</f>
      </c>
    </row>
    <row r="31" spans="1:18" ht="15">
      <c r="A31" s="42"/>
      <c r="B31" s="23" t="s">
        <v>32</v>
      </c>
      <c r="C31" s="22"/>
      <c r="D31" s="23">
        <v>1</v>
      </c>
      <c r="E31" s="23">
        <v>3</v>
      </c>
      <c r="F31" s="23">
        <v>6</v>
      </c>
      <c r="G31" s="23">
        <v>14</v>
      </c>
      <c r="H31" s="23">
        <v>24</v>
      </c>
      <c r="I31" s="23">
        <v>1</v>
      </c>
      <c r="J31" s="23">
        <v>5</v>
      </c>
      <c r="K31" s="23">
        <v>10</v>
      </c>
      <c r="L31" s="23">
        <v>20</v>
      </c>
      <c r="M31" s="23">
        <v>30</v>
      </c>
      <c r="N31" s="23">
        <v>2</v>
      </c>
      <c r="O31" s="21">
        <f t="shared" si="0"/>
      </c>
      <c r="P31" s="21">
        <f>IF(A31&gt;0,HLOOKUP(A31,D1:H81,31,FALSE),0)</f>
        <v>0</v>
      </c>
      <c r="Q31" s="43"/>
      <c r="R31" s="40"/>
    </row>
    <row r="32" spans="1:18" ht="15">
      <c r="A32" s="42"/>
      <c r="B32" s="23" t="s">
        <v>33</v>
      </c>
      <c r="C32" s="22">
        <f>IF(OR(A12&lt;&gt;"",A56&lt;&gt;"",A75&lt;&gt;"",A34&lt;&gt;"",A68&lt;&gt;"",A13&lt;&gt;""),"GY","")</f>
      </c>
      <c r="D32" s="23">
        <v>1</v>
      </c>
      <c r="E32" s="23">
        <v>5</v>
      </c>
      <c r="F32" s="23">
        <v>10</v>
      </c>
      <c r="G32" s="23">
        <v>23</v>
      </c>
      <c r="H32" s="23">
        <v>38</v>
      </c>
      <c r="I32" s="23">
        <v>2</v>
      </c>
      <c r="J32" s="23">
        <v>8</v>
      </c>
      <c r="K32" s="23">
        <v>15</v>
      </c>
      <c r="L32" s="23">
        <v>30</v>
      </c>
      <c r="M32" s="23">
        <v>45</v>
      </c>
      <c r="N32" s="23">
        <v>3</v>
      </c>
      <c r="O32" s="21">
        <f t="shared" si="0"/>
      </c>
      <c r="P32" s="21">
        <f>IF(A32&gt;0,HLOOKUP(A32,D1:H81,32,FALSE),0)</f>
        <v>0</v>
      </c>
      <c r="Q32" s="43"/>
      <c r="R32" s="40">
        <f>IF(O32="","","NyelvtudásE")</f>
      </c>
    </row>
    <row r="33" spans="1:18" ht="15">
      <c r="A33" s="42"/>
      <c r="B33" s="23" t="s">
        <v>34</v>
      </c>
      <c r="C33" s="22"/>
      <c r="D33" s="23">
        <v>1</v>
      </c>
      <c r="E33" s="23">
        <v>3</v>
      </c>
      <c r="F33" s="23">
        <v>6</v>
      </c>
      <c r="G33" s="23">
        <v>14</v>
      </c>
      <c r="H33" s="23">
        <v>24</v>
      </c>
      <c r="I33" s="23">
        <v>1</v>
      </c>
      <c r="J33" s="23">
        <v>5</v>
      </c>
      <c r="K33" s="23">
        <v>10</v>
      </c>
      <c r="L33" s="23">
        <v>20</v>
      </c>
      <c r="M33" s="23">
        <v>30</v>
      </c>
      <c r="N33" s="23">
        <v>2</v>
      </c>
      <c r="O33" s="21">
        <f t="shared" si="0"/>
      </c>
      <c r="P33" s="21">
        <f>IF(A33&gt;0,HLOOKUP(A33,D1:H81,33,FALSE),0)</f>
        <v>0</v>
      </c>
      <c r="Q33" s="43"/>
      <c r="R33" s="40"/>
    </row>
    <row r="34" spans="1:18" ht="15">
      <c r="A34" s="42"/>
      <c r="B34" s="23" t="s">
        <v>35</v>
      </c>
      <c r="C34" s="22"/>
      <c r="D34" s="23">
        <v>1</v>
      </c>
      <c r="E34" s="23">
        <v>5</v>
      </c>
      <c r="F34" s="23">
        <v>10</v>
      </c>
      <c r="G34" s="23">
        <v>23</v>
      </c>
      <c r="H34" s="23">
        <v>38</v>
      </c>
      <c r="I34" s="23">
        <v>2</v>
      </c>
      <c r="J34" s="23">
        <v>8</v>
      </c>
      <c r="K34" s="23">
        <v>15</v>
      </c>
      <c r="L34" s="23">
        <v>30</v>
      </c>
      <c r="M34" s="23">
        <v>45</v>
      </c>
      <c r="N34" s="23">
        <v>3</v>
      </c>
      <c r="O34" s="21">
        <f t="shared" si="0"/>
      </c>
      <c r="P34" s="21">
        <f>IF(A34&gt;0,HLOOKUP(A34,D1:H81,34,FALSE),0)</f>
        <v>0</v>
      </c>
      <c r="Q34" s="43"/>
      <c r="R34" s="40">
        <f>IF(O34="","","KultúraE ÍrásGY")</f>
      </c>
    </row>
    <row r="35" spans="1:18" ht="15">
      <c r="A35" s="42"/>
      <c r="B35" s="23" t="s">
        <v>36</v>
      </c>
      <c r="C35" s="22"/>
      <c r="D35" s="23">
        <v>1</v>
      </c>
      <c r="E35" s="23">
        <v>5</v>
      </c>
      <c r="F35" s="23">
        <v>10</v>
      </c>
      <c r="G35" s="23">
        <v>23</v>
      </c>
      <c r="H35" s="23">
        <v>38</v>
      </c>
      <c r="I35" s="23">
        <v>2</v>
      </c>
      <c r="J35" s="23">
        <v>8</v>
      </c>
      <c r="K35" s="23">
        <v>15</v>
      </c>
      <c r="L35" s="23">
        <v>30</v>
      </c>
      <c r="M35" s="23">
        <v>45</v>
      </c>
      <c r="N35" s="23">
        <v>3</v>
      </c>
      <c r="O35" s="21">
        <f t="shared" si="0"/>
      </c>
      <c r="P35" s="21">
        <f>IF(A35&gt;0,HLOOKUP(A35,D1:H81,35,FALSE),0)</f>
        <v>0</v>
      </c>
      <c r="Q35" s="43"/>
      <c r="R35" s="40">
        <f>IF(O35="","","FegyverhasználatE")</f>
      </c>
    </row>
    <row r="36" spans="1:18" ht="15">
      <c r="A36" s="42"/>
      <c r="B36" s="23" t="s">
        <v>37</v>
      </c>
      <c r="C36" s="22"/>
      <c r="D36" s="23">
        <v>1</v>
      </c>
      <c r="E36" s="23">
        <v>3</v>
      </c>
      <c r="F36" s="23">
        <v>6</v>
      </c>
      <c r="G36" s="23">
        <v>14</v>
      </c>
      <c r="H36" s="23">
        <v>24</v>
      </c>
      <c r="I36" s="23">
        <v>1</v>
      </c>
      <c r="J36" s="23">
        <v>5</v>
      </c>
      <c r="K36" s="23">
        <v>10</v>
      </c>
      <c r="L36" s="23">
        <v>20</v>
      </c>
      <c r="M36" s="23">
        <v>30</v>
      </c>
      <c r="N36" s="23">
        <v>2</v>
      </c>
      <c r="O36" s="21">
        <f t="shared" si="0"/>
      </c>
      <c r="P36" s="21">
        <f>IF(A36&gt;0,HLOOKUP(A36,D1:H81,36,FALSE),0)</f>
        <v>0</v>
      </c>
      <c r="Q36" s="43"/>
      <c r="R36" s="40"/>
    </row>
    <row r="37" spans="1:18" ht="15">
      <c r="A37" s="42"/>
      <c r="B37" s="23" t="s">
        <v>38</v>
      </c>
      <c r="C37" s="22"/>
      <c r="D37" s="23">
        <v>1</v>
      </c>
      <c r="E37" s="23">
        <v>2</v>
      </c>
      <c r="F37" s="23">
        <v>5</v>
      </c>
      <c r="G37" s="23">
        <v>10</v>
      </c>
      <c r="H37" s="23">
        <v>20</v>
      </c>
      <c r="I37" s="23">
        <v>1</v>
      </c>
      <c r="J37" s="23">
        <v>3</v>
      </c>
      <c r="K37" s="23">
        <v>8</v>
      </c>
      <c r="L37" s="23">
        <v>15</v>
      </c>
      <c r="M37" s="23">
        <v>25</v>
      </c>
      <c r="N37" s="23">
        <v>1</v>
      </c>
      <c r="O37" s="21">
        <f t="shared" si="0"/>
      </c>
      <c r="P37" s="21">
        <f>IF(A37&gt;0,HLOOKUP(A37,D1:H81,37,FALSE),0)</f>
        <v>0</v>
      </c>
      <c r="Q37" s="43"/>
      <c r="R37" s="40">
        <f>IF(O37="","","ÁllatismeretGY")</f>
      </c>
    </row>
    <row r="38" spans="1:18" ht="15">
      <c r="A38" s="42"/>
      <c r="B38" s="23" t="s">
        <v>39</v>
      </c>
      <c r="C38" s="22"/>
      <c r="D38" s="23">
        <v>1</v>
      </c>
      <c r="E38" s="23">
        <v>2</v>
      </c>
      <c r="F38" s="23">
        <v>5</v>
      </c>
      <c r="G38" s="23">
        <v>10</v>
      </c>
      <c r="H38" s="23">
        <v>20</v>
      </c>
      <c r="I38" s="23">
        <v>1</v>
      </c>
      <c r="J38" s="23">
        <v>3</v>
      </c>
      <c r="K38" s="23">
        <v>8</v>
      </c>
      <c r="L38" s="23">
        <v>15</v>
      </c>
      <c r="M38" s="23">
        <v>25</v>
      </c>
      <c r="N38" s="23">
        <v>1</v>
      </c>
      <c r="O38" s="21">
        <f t="shared" si="0"/>
      </c>
      <c r="P38" s="21">
        <f>IF(A38&gt;0,HLOOKUP(A38,D1:H81,38,FALSE),0)</f>
        <v>0</v>
      </c>
      <c r="Q38" s="43"/>
      <c r="R38" s="40"/>
    </row>
    <row r="39" spans="1:18" ht="15">
      <c r="A39" s="42"/>
      <c r="B39" s="23" t="s">
        <v>40</v>
      </c>
      <c r="C39" s="22">
        <f>IF(OR(A3&lt;&gt;"",A11&lt;&gt;"",A28&lt;&gt;"",A34&lt;&gt;"",A40&lt;&gt;"",A76&lt;&gt;"",A80&lt;&gt;""),"E","")</f>
      </c>
      <c r="D39" s="23">
        <v>1</v>
      </c>
      <c r="E39" s="23">
        <v>2</v>
      </c>
      <c r="F39" s="23">
        <v>5</v>
      </c>
      <c r="G39" s="23">
        <v>10</v>
      </c>
      <c r="H39" s="23">
        <v>20</v>
      </c>
      <c r="I39" s="23">
        <v>1</v>
      </c>
      <c r="J39" s="23">
        <v>3</v>
      </c>
      <c r="K39" s="23">
        <v>8</v>
      </c>
      <c r="L39" s="23">
        <v>15</v>
      </c>
      <c r="M39" s="23">
        <v>25</v>
      </c>
      <c r="N39" s="23">
        <v>1</v>
      </c>
      <c r="O39" s="21">
        <f t="shared" si="0"/>
      </c>
      <c r="P39" s="21">
        <f>IF(A39&gt;0,HLOOKUP(A39,D1:H81,39,FALSE),0)</f>
        <v>0</v>
      </c>
      <c r="Q39" s="43"/>
      <c r="R39" s="40">
        <f>IF(O39="","","NyelvtudásE")</f>
      </c>
    </row>
    <row r="40" spans="1:18" ht="15">
      <c r="A40" s="42"/>
      <c r="B40" s="23" t="s">
        <v>41</v>
      </c>
      <c r="C40" s="22"/>
      <c r="D40" s="23">
        <v>1</v>
      </c>
      <c r="E40" s="23">
        <v>3</v>
      </c>
      <c r="F40" s="23">
        <v>6</v>
      </c>
      <c r="G40" s="23">
        <v>14</v>
      </c>
      <c r="H40" s="23">
        <v>24</v>
      </c>
      <c r="I40" s="23">
        <v>1</v>
      </c>
      <c r="J40" s="23">
        <v>5</v>
      </c>
      <c r="K40" s="23">
        <v>10</v>
      </c>
      <c r="L40" s="23">
        <v>20</v>
      </c>
      <c r="M40" s="23">
        <v>30</v>
      </c>
      <c r="N40" s="23">
        <v>2</v>
      </c>
      <c r="O40" s="21">
        <f t="shared" si="0"/>
      </c>
      <c r="P40" s="21">
        <f>IF(A40&gt;0,HLOOKUP(A40,D1:H81,40,FALSE),0)</f>
        <v>0</v>
      </c>
      <c r="Q40" s="43"/>
      <c r="R40" s="40">
        <f>IF(O40="","","KultúraE")</f>
      </c>
    </row>
    <row r="41" spans="1:18" ht="15">
      <c r="A41" s="42"/>
      <c r="B41" s="23" t="s">
        <v>42</v>
      </c>
      <c r="C41" s="22">
        <f>IF(A71&lt;&gt;"","E",IF(OR(A11&lt;&gt;"",A20&lt;&gt;"",A52&lt;&gt;""),"GY",""))</f>
      </c>
      <c r="D41" s="23">
        <v>1</v>
      </c>
      <c r="E41" s="23">
        <v>5</v>
      </c>
      <c r="F41" s="23">
        <v>10</v>
      </c>
      <c r="G41" s="23">
        <v>23</v>
      </c>
      <c r="H41" s="23">
        <v>38</v>
      </c>
      <c r="I41" s="23">
        <v>2</v>
      </c>
      <c r="J41" s="23">
        <v>8</v>
      </c>
      <c r="K41" s="23">
        <v>15</v>
      </c>
      <c r="L41" s="23">
        <v>30</v>
      </c>
      <c r="M41" s="23">
        <v>45</v>
      </c>
      <c r="N41" s="23">
        <v>3</v>
      </c>
      <c r="O41" s="21">
        <f t="shared" si="0"/>
      </c>
      <c r="P41" s="21">
        <f>IF(A41&gt;0,HLOOKUP(A41,D1:H81,41,FALSE),0)</f>
        <v>0</v>
      </c>
      <c r="Q41" s="43"/>
      <c r="R41" s="40"/>
    </row>
    <row r="42" spans="1:18" ht="15">
      <c r="A42" s="42"/>
      <c r="B42" s="25" t="s">
        <v>131</v>
      </c>
      <c r="C42" s="26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>
        <v>1</v>
      </c>
      <c r="O42" s="21">
        <f t="shared" si="0"/>
      </c>
      <c r="P42" s="21">
        <f>IF(A42&gt;0,A42/5,0)</f>
        <v>0</v>
      </c>
      <c r="Q42" s="43"/>
      <c r="R42" s="40"/>
    </row>
    <row r="43" spans="1:18" ht="15">
      <c r="A43" s="42"/>
      <c r="B43" s="23" t="s">
        <v>43</v>
      </c>
      <c r="C43" s="22"/>
      <c r="D43" s="23">
        <v>1</v>
      </c>
      <c r="E43" s="23">
        <v>2</v>
      </c>
      <c r="F43" s="23">
        <v>5</v>
      </c>
      <c r="G43" s="23">
        <v>10</v>
      </c>
      <c r="H43" s="23">
        <v>20</v>
      </c>
      <c r="I43" s="23">
        <v>1</v>
      </c>
      <c r="J43" s="23">
        <v>3</v>
      </c>
      <c r="K43" s="23">
        <v>8</v>
      </c>
      <c r="L43" s="23">
        <v>15</v>
      </c>
      <c r="M43" s="23">
        <v>25</v>
      </c>
      <c r="N43" s="23">
        <v>1</v>
      </c>
      <c r="O43" s="21">
        <f t="shared" si="0"/>
      </c>
      <c r="P43" s="21">
        <f>IF(A43&gt;0,HLOOKUP(A43,D1:H81,43,FALSE),0)</f>
        <v>0</v>
      </c>
      <c r="Q43" s="43"/>
      <c r="R43" s="40">
        <f>IF(O43="","","ÁllatismeretGY")</f>
      </c>
    </row>
    <row r="44" spans="1:18" ht="15">
      <c r="A44" s="42"/>
      <c r="B44" s="23" t="s">
        <v>44</v>
      </c>
      <c r="C44" s="22"/>
      <c r="D44" s="23">
        <v>1</v>
      </c>
      <c r="E44" s="23">
        <v>6</v>
      </c>
      <c r="F44" s="23">
        <v>14</v>
      </c>
      <c r="G44" s="23">
        <v>27</v>
      </c>
      <c r="H44" s="23">
        <v>47</v>
      </c>
      <c r="I44" s="23">
        <v>3</v>
      </c>
      <c r="J44" s="23">
        <v>10</v>
      </c>
      <c r="K44" s="23">
        <v>20</v>
      </c>
      <c r="L44" s="23">
        <v>35</v>
      </c>
      <c r="M44" s="23">
        <v>55</v>
      </c>
      <c r="N44" s="23">
        <v>4</v>
      </c>
      <c r="O44" s="21">
        <f t="shared" si="0"/>
      </c>
      <c r="P44" s="21">
        <f>IF(A44&gt;0,HLOOKUP(A44,D1:H81,44,FALSE),0)</f>
        <v>0</v>
      </c>
      <c r="Q44" s="43"/>
      <c r="R44" s="40">
        <f>IF(O44="","","Ősi nyelvE")</f>
      </c>
    </row>
    <row r="45" spans="1:18" ht="15">
      <c r="A45" s="42"/>
      <c r="B45" s="23" t="s">
        <v>122</v>
      </c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>
        <v>1</v>
      </c>
      <c r="O45" s="21">
        <f t="shared" si="0"/>
      </c>
      <c r="P45" s="21">
        <f>IF(A45&gt;0,A45/5,0)</f>
        <v>0</v>
      </c>
      <c r="Q45" s="43"/>
      <c r="R45" s="40"/>
    </row>
    <row r="46" spans="1:18" ht="15">
      <c r="A46" s="42"/>
      <c r="B46" s="23" t="s">
        <v>45</v>
      </c>
      <c r="C46" s="22">
        <f>IF(A6&lt;&gt;"","GY","")</f>
      </c>
      <c r="D46" s="23">
        <v>1</v>
      </c>
      <c r="E46" s="23">
        <v>5</v>
      </c>
      <c r="F46" s="23">
        <v>10</v>
      </c>
      <c r="G46" s="23">
        <v>23</v>
      </c>
      <c r="H46" s="23">
        <v>38</v>
      </c>
      <c r="I46" s="23">
        <v>2</v>
      </c>
      <c r="J46" s="23">
        <v>8</v>
      </c>
      <c r="K46" s="23">
        <v>15</v>
      </c>
      <c r="L46" s="23">
        <v>30</v>
      </c>
      <c r="M46" s="23">
        <v>45</v>
      </c>
      <c r="N46" s="23">
        <v>3</v>
      </c>
      <c r="O46" s="21">
        <f t="shared" si="0"/>
      </c>
      <c r="P46" s="21">
        <f>IF(A46&gt;0,HLOOKUP(A46,D1:H81,46,FALSE),0)</f>
        <v>0</v>
      </c>
      <c r="Q46" s="43"/>
      <c r="R46" s="40">
        <f>IF(O46="","","SzámtanE")</f>
      </c>
    </row>
    <row r="47" spans="1:18" ht="15">
      <c r="A47" s="42"/>
      <c r="B47" s="23" t="s">
        <v>46</v>
      </c>
      <c r="C47" s="22"/>
      <c r="D47" s="23">
        <v>1</v>
      </c>
      <c r="E47" s="23">
        <v>3</v>
      </c>
      <c r="F47" s="23">
        <v>6</v>
      </c>
      <c r="G47" s="23">
        <v>14</v>
      </c>
      <c r="H47" s="23">
        <v>24</v>
      </c>
      <c r="I47" s="23">
        <v>1</v>
      </c>
      <c r="J47" s="23">
        <v>5</v>
      </c>
      <c r="K47" s="23">
        <v>10</v>
      </c>
      <c r="L47" s="23">
        <v>20</v>
      </c>
      <c r="M47" s="23">
        <v>30</v>
      </c>
      <c r="N47" s="23">
        <v>2</v>
      </c>
      <c r="O47" s="21">
        <f t="shared" si="0"/>
      </c>
      <c r="P47" s="21">
        <f>IF(A47&gt;0,HLOOKUP(A47,D1:H81,47,FALSE),0)</f>
        <v>0</v>
      </c>
      <c r="Q47" s="43"/>
      <c r="R47" s="40">
        <f>IF(O47="","","HerbalizmusE AlkímiaGY")</f>
      </c>
    </row>
    <row r="48" spans="1:18" ht="15">
      <c r="A48" s="42"/>
      <c r="B48" s="23" t="s">
        <v>47</v>
      </c>
      <c r="C48" s="22">
        <f>IF(A74&lt;&gt;"","GY","")</f>
      </c>
      <c r="D48" s="23">
        <v>1</v>
      </c>
      <c r="E48" s="23">
        <v>3</v>
      </c>
      <c r="F48" s="23">
        <v>6</v>
      </c>
      <c r="G48" s="23">
        <v>14</v>
      </c>
      <c r="H48" s="23">
        <v>24</v>
      </c>
      <c r="I48" s="23">
        <v>1</v>
      </c>
      <c r="J48" s="23">
        <v>5</v>
      </c>
      <c r="K48" s="23">
        <v>10</v>
      </c>
      <c r="L48" s="23">
        <v>20</v>
      </c>
      <c r="M48" s="23">
        <v>30</v>
      </c>
      <c r="N48" s="23">
        <v>2</v>
      </c>
      <c r="O48" s="21">
        <f t="shared" si="0"/>
      </c>
      <c r="P48" s="21">
        <f>IF(A48&gt;0,HLOOKUP(A48,D1:H81,48,FALSE),0)</f>
        <v>0</v>
      </c>
      <c r="Q48" s="43"/>
      <c r="R48" s="40"/>
    </row>
    <row r="49" spans="1:18" ht="15">
      <c r="A49" s="42"/>
      <c r="B49" s="23" t="s">
        <v>48</v>
      </c>
      <c r="C49" s="22"/>
      <c r="D49" s="23">
        <v>1</v>
      </c>
      <c r="E49" s="23">
        <v>6</v>
      </c>
      <c r="F49" s="23">
        <v>14</v>
      </c>
      <c r="G49" s="23">
        <v>27</v>
      </c>
      <c r="H49" s="23">
        <v>47</v>
      </c>
      <c r="I49" s="23">
        <v>3</v>
      </c>
      <c r="J49" s="23">
        <v>10</v>
      </c>
      <c r="K49" s="23">
        <v>20</v>
      </c>
      <c r="L49" s="23">
        <v>35</v>
      </c>
      <c r="M49" s="23">
        <v>55</v>
      </c>
      <c r="N49" s="23">
        <v>4</v>
      </c>
      <c r="O49" s="21">
        <f t="shared" si="0"/>
      </c>
      <c r="P49" s="21">
        <f>IF(A49&gt;0,HLOOKUP(A49,D1:H81,49,FALSE),0)</f>
        <v>0</v>
      </c>
      <c r="Q49" s="43"/>
      <c r="R49" s="40">
        <f>IF(O49="","","ÉlettanE")</f>
      </c>
    </row>
    <row r="50" spans="1:18" ht="15">
      <c r="A50" s="42"/>
      <c r="B50" s="23" t="s">
        <v>49</v>
      </c>
      <c r="C50" s="22">
        <f>IF(OR(A32&lt;&gt;"",A39&lt;&gt;""),"E","")</f>
      </c>
      <c r="D50" s="23">
        <v>1</v>
      </c>
      <c r="E50" s="23">
        <v>2</v>
      </c>
      <c r="F50" s="23">
        <v>5</v>
      </c>
      <c r="G50" s="23">
        <v>10</v>
      </c>
      <c r="H50" s="23">
        <v>20</v>
      </c>
      <c r="I50" s="23">
        <v>1</v>
      </c>
      <c r="J50" s="23">
        <v>3</v>
      </c>
      <c r="K50" s="23">
        <v>8</v>
      </c>
      <c r="L50" s="23">
        <v>15</v>
      </c>
      <c r="M50" s="23">
        <v>25</v>
      </c>
      <c r="N50" s="23">
        <v>1</v>
      </c>
      <c r="O50" s="21">
        <f t="shared" si="0"/>
      </c>
      <c r="P50" s="21">
        <f>IF(A50&gt;0,HLOOKUP(A50,D1:H81,50,FALSE),0)</f>
        <v>0</v>
      </c>
      <c r="Q50" s="43"/>
      <c r="R50" s="40"/>
    </row>
    <row r="51" spans="1:18" ht="15">
      <c r="A51" s="42"/>
      <c r="B51" s="23" t="s">
        <v>50</v>
      </c>
      <c r="C51" s="22"/>
      <c r="D51" s="23">
        <v>1</v>
      </c>
      <c r="E51" s="23">
        <v>3</v>
      </c>
      <c r="F51" s="23">
        <v>6</v>
      </c>
      <c r="G51" s="23">
        <v>14</v>
      </c>
      <c r="H51" s="23">
        <v>24</v>
      </c>
      <c r="I51" s="23">
        <v>1</v>
      </c>
      <c r="J51" s="23">
        <v>5</v>
      </c>
      <c r="K51" s="23">
        <v>10</v>
      </c>
      <c r="L51" s="23">
        <v>20</v>
      </c>
      <c r="M51" s="23">
        <v>30</v>
      </c>
      <c r="N51" s="23">
        <v>2</v>
      </c>
      <c r="O51" s="21">
        <f t="shared" si="0"/>
      </c>
      <c r="P51" s="21">
        <f>IF(A51&gt;0,HLOOKUP(A51,D1:H81,51,FALSE),0)</f>
        <v>0</v>
      </c>
      <c r="Q51" s="43"/>
      <c r="R51" s="40"/>
    </row>
    <row r="52" spans="1:18" ht="15">
      <c r="A52" s="42"/>
      <c r="B52" s="23" t="s">
        <v>51</v>
      </c>
      <c r="C52" s="22"/>
      <c r="D52" s="23">
        <v>1</v>
      </c>
      <c r="E52" s="23">
        <v>5</v>
      </c>
      <c r="F52" s="23">
        <v>10</v>
      </c>
      <c r="G52" s="23">
        <v>23</v>
      </c>
      <c r="H52" s="23">
        <v>38</v>
      </c>
      <c r="I52" s="23">
        <v>2</v>
      </c>
      <c r="J52" s="23">
        <v>8</v>
      </c>
      <c r="K52" s="23">
        <v>15</v>
      </c>
      <c r="L52" s="23">
        <v>30</v>
      </c>
      <c r="M52" s="23">
        <v>45</v>
      </c>
      <c r="N52" s="23">
        <v>3</v>
      </c>
      <c r="O52" s="21">
        <f t="shared" si="0"/>
      </c>
      <c r="P52" s="21">
        <f>IF(A52&gt;0,HLOOKUP(A52,D1:H81,52,FALSE),0)</f>
        <v>0</v>
      </c>
      <c r="Q52" s="43"/>
      <c r="R52" s="40">
        <f>IF(O52="","","LélektanGY")</f>
      </c>
    </row>
    <row r="53" spans="1:18" ht="15">
      <c r="A53" s="42"/>
      <c r="B53" s="23" t="s">
        <v>52</v>
      </c>
      <c r="C53" s="22"/>
      <c r="D53" s="23">
        <v>1</v>
      </c>
      <c r="E53" s="23">
        <v>5</v>
      </c>
      <c r="F53" s="23">
        <v>10</v>
      </c>
      <c r="G53" s="23">
        <v>23</v>
      </c>
      <c r="H53" s="23">
        <v>38</v>
      </c>
      <c r="I53" s="23">
        <v>2</v>
      </c>
      <c r="J53" s="23">
        <v>8</v>
      </c>
      <c r="K53" s="23">
        <v>15</v>
      </c>
      <c r="L53" s="23">
        <v>30</v>
      </c>
      <c r="M53" s="23">
        <v>45</v>
      </c>
      <c r="N53" s="23">
        <v>3</v>
      </c>
      <c r="O53" s="21">
        <f t="shared" si="0"/>
      </c>
      <c r="P53" s="21">
        <f>IF(A53&gt;0,HLOOKUP(A53,D1:H81,53,FALSE),0)</f>
        <v>0</v>
      </c>
      <c r="Q53" s="43"/>
      <c r="R53" s="40">
        <f>IF(O53="","","ÉlettanE HerbalizmusE")</f>
      </c>
    </row>
    <row r="54" spans="1:18" ht="15">
      <c r="A54" s="42"/>
      <c r="B54" s="23" t="s">
        <v>53</v>
      </c>
      <c r="C54" s="22"/>
      <c r="D54" s="23">
        <v>1</v>
      </c>
      <c r="E54" s="23">
        <v>3</v>
      </c>
      <c r="F54" s="23">
        <v>6</v>
      </c>
      <c r="G54" s="23">
        <v>14</v>
      </c>
      <c r="H54" s="23">
        <v>24</v>
      </c>
      <c r="I54" s="23">
        <v>1</v>
      </c>
      <c r="J54" s="23">
        <v>5</v>
      </c>
      <c r="K54" s="23">
        <v>10</v>
      </c>
      <c r="L54" s="23">
        <v>20</v>
      </c>
      <c r="M54" s="23">
        <v>30</v>
      </c>
      <c r="N54" s="23">
        <v>2</v>
      </c>
      <c r="O54" s="21">
        <f t="shared" si="0"/>
      </c>
      <c r="P54" s="21">
        <f>IF(A54&gt;0,HLOOKUP(A54,D1:H81,54,FALSE),0)</f>
        <v>0</v>
      </c>
      <c r="Q54" s="43"/>
      <c r="R54" s="40">
        <f>IF(O54="","","Fegyverh./PusztakE ÉlettanGY")</f>
      </c>
    </row>
    <row r="55" spans="1:18" ht="15">
      <c r="A55" s="42"/>
      <c r="B55" s="23" t="s">
        <v>54</v>
      </c>
      <c r="C55" s="22"/>
      <c r="D55" s="23">
        <v>1</v>
      </c>
      <c r="E55" s="23">
        <v>6</v>
      </c>
      <c r="F55" s="23">
        <v>14</v>
      </c>
      <c r="G55" s="23">
        <v>27</v>
      </c>
      <c r="H55" s="23">
        <v>47</v>
      </c>
      <c r="I55" s="23">
        <v>3</v>
      </c>
      <c r="J55" s="23">
        <v>10</v>
      </c>
      <c r="K55" s="23">
        <v>20</v>
      </c>
      <c r="L55" s="23">
        <v>35</v>
      </c>
      <c r="M55" s="23">
        <v>55</v>
      </c>
      <c r="N55" s="23">
        <v>4</v>
      </c>
      <c r="O55" s="21">
        <f t="shared" si="0"/>
      </c>
      <c r="P55" s="21">
        <f>IF(A55&gt;0,HLOOKUP(A55,D1:H81,55,FALSE),0)</f>
        <v>0</v>
      </c>
      <c r="Q55" s="43"/>
      <c r="R55" s="40">
        <f>IF(O55="","","Ősi nyelvE")</f>
      </c>
    </row>
    <row r="56" spans="1:18" ht="15">
      <c r="A56" s="42"/>
      <c r="B56" s="23" t="s">
        <v>55</v>
      </c>
      <c r="C56" s="22">
        <f>IF(OR(A9&lt;&gt;"",A44&lt;&gt;"",A55&lt;&gt;"",A65&lt;&gt;""),"E","")</f>
      </c>
      <c r="D56" s="23">
        <v>1</v>
      </c>
      <c r="E56" s="23">
        <v>6</v>
      </c>
      <c r="F56" s="23">
        <v>14</v>
      </c>
      <c r="G56" s="23">
        <v>27</v>
      </c>
      <c r="H56" s="23">
        <v>47</v>
      </c>
      <c r="I56" s="23">
        <v>3</v>
      </c>
      <c r="J56" s="23">
        <v>10</v>
      </c>
      <c r="K56" s="23">
        <v>20</v>
      </c>
      <c r="L56" s="23">
        <v>35</v>
      </c>
      <c r="M56" s="23">
        <v>55</v>
      </c>
      <c r="N56" s="23">
        <v>4</v>
      </c>
      <c r="O56" s="21">
        <f t="shared" si="0"/>
      </c>
      <c r="P56" s="21">
        <f>IF(A56&gt;0,HLOOKUP(A56,D1:H81,56,FALSE),0)</f>
        <v>0</v>
      </c>
      <c r="Q56" s="43"/>
      <c r="R56" s="40">
        <f>IF(O56="","","ÍrásGY")</f>
      </c>
    </row>
    <row r="57" spans="1:18" ht="15">
      <c r="A57" s="42"/>
      <c r="B57" s="23" t="s">
        <v>56</v>
      </c>
      <c r="C57" s="22"/>
      <c r="D57" s="23">
        <v>1</v>
      </c>
      <c r="E57" s="23">
        <v>3</v>
      </c>
      <c r="F57" s="23">
        <v>6</v>
      </c>
      <c r="G57" s="23">
        <v>14</v>
      </c>
      <c r="H57" s="23">
        <v>24</v>
      </c>
      <c r="I57" s="23">
        <v>1</v>
      </c>
      <c r="J57" s="23">
        <v>5</v>
      </c>
      <c r="K57" s="23">
        <v>10</v>
      </c>
      <c r="L57" s="23">
        <v>20</v>
      </c>
      <c r="M57" s="23">
        <v>30</v>
      </c>
      <c r="N57" s="23">
        <v>2</v>
      </c>
      <c r="O57" s="21">
        <f t="shared" si="0"/>
      </c>
      <c r="P57" s="21">
        <f>IF(A57&gt;0,HLOOKUP(A57,D1:H81,57,FALSE),0)</f>
        <v>0</v>
      </c>
      <c r="Q57" s="43"/>
      <c r="R57" s="40"/>
    </row>
    <row r="58" spans="1:18" ht="15">
      <c r="A58" s="42"/>
      <c r="B58" s="23" t="s">
        <v>57</v>
      </c>
      <c r="C58" s="22"/>
      <c r="D58" s="23">
        <v>1</v>
      </c>
      <c r="E58" s="23">
        <v>3</v>
      </c>
      <c r="F58" s="23">
        <v>6</v>
      </c>
      <c r="G58" s="23">
        <v>14</v>
      </c>
      <c r="H58" s="23">
        <v>24</v>
      </c>
      <c r="I58" s="23">
        <v>1</v>
      </c>
      <c r="J58" s="23">
        <v>5</v>
      </c>
      <c r="K58" s="23">
        <v>10</v>
      </c>
      <c r="L58" s="23">
        <v>20</v>
      </c>
      <c r="M58" s="23">
        <v>30</v>
      </c>
      <c r="N58" s="23">
        <v>2</v>
      </c>
      <c r="O58" s="21">
        <f t="shared" si="0"/>
      </c>
      <c r="P58" s="21">
        <f>IF(A58&gt;0,HLOOKUP(A58,D1:H81,58,FALSE),0)</f>
        <v>0</v>
      </c>
      <c r="Q58" s="43"/>
      <c r="R58" s="40">
        <f>IF(O58="","","Udvari etikettE")</f>
      </c>
    </row>
    <row r="59" spans="1:18" ht="15">
      <c r="A59" s="42"/>
      <c r="B59" s="23" t="s">
        <v>58</v>
      </c>
      <c r="C59" s="22"/>
      <c r="D59" s="23">
        <v>1</v>
      </c>
      <c r="E59" s="23">
        <v>5</v>
      </c>
      <c r="F59" s="23">
        <v>10</v>
      </c>
      <c r="G59" s="23">
        <v>23</v>
      </c>
      <c r="H59" s="23">
        <v>38</v>
      </c>
      <c r="I59" s="23">
        <v>2</v>
      </c>
      <c r="J59" s="23">
        <v>8</v>
      </c>
      <c r="K59" s="23">
        <v>15</v>
      </c>
      <c r="L59" s="23">
        <v>30</v>
      </c>
      <c r="M59" s="23">
        <v>45</v>
      </c>
      <c r="N59" s="23">
        <v>3</v>
      </c>
      <c r="O59" s="21">
        <f t="shared" si="0"/>
      </c>
      <c r="P59" s="21">
        <f>IF(A59&gt;0,HLOOKUP(A59,D1:H81,59,FALSE),0)</f>
        <v>0</v>
      </c>
      <c r="Q59" s="43"/>
      <c r="R59" s="40">
        <f>IF(O59="","","Udvari etikettE TörténelemGY")</f>
      </c>
    </row>
    <row r="60" spans="1:18" ht="15">
      <c r="A60" s="42"/>
      <c r="B60" s="23" t="s">
        <v>59</v>
      </c>
      <c r="C60" s="22"/>
      <c r="D60" s="23">
        <v>1</v>
      </c>
      <c r="E60" s="23">
        <v>6</v>
      </c>
      <c r="F60" s="23">
        <v>14</v>
      </c>
      <c r="G60" s="23">
        <v>27</v>
      </c>
      <c r="H60" s="23">
        <v>47</v>
      </c>
      <c r="I60" s="23">
        <v>3</v>
      </c>
      <c r="J60" s="23">
        <v>10</v>
      </c>
      <c r="K60" s="23">
        <v>20</v>
      </c>
      <c r="L60" s="23">
        <v>35</v>
      </c>
      <c r="M60" s="23">
        <v>55</v>
      </c>
      <c r="N60" s="23">
        <v>4</v>
      </c>
      <c r="O60" s="21">
        <f t="shared" si="0"/>
      </c>
      <c r="P60" s="21">
        <f>IF(A60&gt;0,HLOOKUP(A60,D1:H81,60,FALSE),0)</f>
        <v>0</v>
      </c>
      <c r="Q60" s="43"/>
      <c r="R60" s="40"/>
    </row>
    <row r="61" spans="1:18" ht="15">
      <c r="A61" s="42"/>
      <c r="B61" s="23" t="s">
        <v>60</v>
      </c>
      <c r="C61" s="22">
        <f>IF(A54&lt;&gt;"","E","")</f>
      </c>
      <c r="D61" s="23">
        <v>1</v>
      </c>
      <c r="E61" s="23">
        <v>3</v>
      </c>
      <c r="F61" s="23">
        <v>6</v>
      </c>
      <c r="G61" s="23">
        <v>14</v>
      </c>
      <c r="H61" s="23">
        <v>24</v>
      </c>
      <c r="I61" s="23">
        <v>1</v>
      </c>
      <c r="J61" s="23">
        <v>5</v>
      </c>
      <c r="K61" s="23">
        <v>10</v>
      </c>
      <c r="L61" s="23">
        <v>20</v>
      </c>
      <c r="M61" s="23">
        <v>30</v>
      </c>
      <c r="N61" s="23">
        <v>2</v>
      </c>
      <c r="O61" s="21">
        <f t="shared" si="0"/>
      </c>
      <c r="P61" s="21">
        <f>IF(A61&gt;0,HLOOKUP(A61,D1:H81,61,FALSE),0)</f>
        <v>0</v>
      </c>
      <c r="Q61" s="43"/>
      <c r="R61" s="40"/>
    </row>
    <row r="62" spans="1:18" ht="15">
      <c r="A62" s="42"/>
      <c r="B62" s="23" t="s">
        <v>61</v>
      </c>
      <c r="C62" s="22"/>
      <c r="D62" s="23">
        <v>1</v>
      </c>
      <c r="E62" s="23">
        <v>5</v>
      </c>
      <c r="F62" s="23">
        <v>10</v>
      </c>
      <c r="G62" s="23">
        <v>23</v>
      </c>
      <c r="H62" s="23">
        <v>38</v>
      </c>
      <c r="I62" s="23">
        <v>2</v>
      </c>
      <c r="J62" s="23">
        <v>8</v>
      </c>
      <c r="K62" s="23">
        <v>15</v>
      </c>
      <c r="L62" s="23">
        <v>30</v>
      </c>
      <c r="M62" s="23">
        <v>45</v>
      </c>
      <c r="N62" s="23">
        <v>3</v>
      </c>
      <c r="O62" s="21">
        <f t="shared" si="0"/>
      </c>
      <c r="P62" s="21">
        <f>IF(A62&gt;0,HLOOKUP(A62,D1:H81,62,FALSE),0)</f>
        <v>0</v>
      </c>
      <c r="Q62" s="43"/>
      <c r="R62" s="40">
        <f>IF(O62="","","FegyverhasználatE ÉlettanGY")</f>
      </c>
    </row>
    <row r="63" spans="1:18" ht="15">
      <c r="A63" s="42"/>
      <c r="B63" s="23" t="s">
        <v>123</v>
      </c>
      <c r="C63" s="22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>
        <v>1</v>
      </c>
      <c r="O63" s="21">
        <f t="shared" si="0"/>
      </c>
      <c r="P63" s="21">
        <f>IF(A63&gt;0,A63/5,0)</f>
        <v>0</v>
      </c>
      <c r="Q63" s="43"/>
      <c r="R63" s="40"/>
    </row>
    <row r="64" spans="1:18" ht="15">
      <c r="A64" s="42"/>
      <c r="B64" s="23" t="s">
        <v>124</v>
      </c>
      <c r="C64" s="22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>
        <v>1</v>
      </c>
      <c r="O64" s="21">
        <f t="shared" si="0"/>
      </c>
      <c r="P64" s="21">
        <f>IF(A64&gt;0,A64/5,0)</f>
        <v>0</v>
      </c>
      <c r="Q64" s="43"/>
      <c r="R64" s="40"/>
    </row>
    <row r="65" spans="1:18" ht="15">
      <c r="A65" s="42"/>
      <c r="B65" s="23" t="s">
        <v>62</v>
      </c>
      <c r="C65" s="22"/>
      <c r="D65" s="23">
        <v>1</v>
      </c>
      <c r="E65" s="23">
        <v>6</v>
      </c>
      <c r="F65" s="23">
        <v>14</v>
      </c>
      <c r="G65" s="23">
        <v>27</v>
      </c>
      <c r="H65" s="23">
        <v>47</v>
      </c>
      <c r="I65" s="23">
        <v>3</v>
      </c>
      <c r="J65" s="23">
        <v>10</v>
      </c>
      <c r="K65" s="23">
        <v>20</v>
      </c>
      <c r="L65" s="23">
        <v>35</v>
      </c>
      <c r="M65" s="23">
        <v>55</v>
      </c>
      <c r="N65" s="23">
        <v>4</v>
      </c>
      <c r="O65" s="21">
        <f t="shared" si="0"/>
      </c>
      <c r="P65" s="21">
        <f>IF(A65&gt;0,HLOOKUP(A65,D1:H81,65,FALSE),0)</f>
        <v>0</v>
      </c>
      <c r="Q65" s="43"/>
      <c r="R65" s="40">
        <f>IF(O65="","","Ősi nyelvE")</f>
      </c>
    </row>
    <row r="66" spans="1:18" ht="15">
      <c r="A66" s="42"/>
      <c r="B66" s="23" t="s">
        <v>63</v>
      </c>
      <c r="C66" s="22"/>
      <c r="D66" s="23">
        <v>1</v>
      </c>
      <c r="E66" s="23">
        <v>5</v>
      </c>
      <c r="F66" s="23">
        <v>10</v>
      </c>
      <c r="G66" s="23">
        <v>23</v>
      </c>
      <c r="H66" s="23">
        <v>38</v>
      </c>
      <c r="I66" s="23">
        <v>2</v>
      </c>
      <c r="J66" s="23">
        <v>8</v>
      </c>
      <c r="K66" s="23">
        <v>15</v>
      </c>
      <c r="L66" s="23">
        <v>30</v>
      </c>
      <c r="M66" s="23">
        <v>45</v>
      </c>
      <c r="N66" s="23">
        <v>3</v>
      </c>
      <c r="O66" s="21">
        <f t="shared" si="0"/>
      </c>
      <c r="P66" s="21">
        <f>IF(A66&gt;0,HLOOKUP(A66,D1:H81,66,FALSE),0)</f>
        <v>0</v>
      </c>
      <c r="Q66" s="43"/>
      <c r="R66" s="40">
        <f>IF(O66="","","CsomózásE ZárnyitásGY")</f>
      </c>
    </row>
    <row r="67" spans="1:18" ht="15">
      <c r="A67" s="42"/>
      <c r="B67" s="23" t="s">
        <v>64</v>
      </c>
      <c r="C67" s="22">
        <f>IF(A10&lt;&gt;"","E","")</f>
      </c>
      <c r="D67" s="23">
        <v>1</v>
      </c>
      <c r="E67" s="23">
        <v>3</v>
      </c>
      <c r="F67" s="23">
        <v>6</v>
      </c>
      <c r="G67" s="23">
        <v>14</v>
      </c>
      <c r="H67" s="23">
        <v>24</v>
      </c>
      <c r="I67" s="23">
        <v>1</v>
      </c>
      <c r="J67" s="23">
        <v>5</v>
      </c>
      <c r="K67" s="23">
        <v>10</v>
      </c>
      <c r="L67" s="23">
        <v>20</v>
      </c>
      <c r="M67" s="23">
        <v>30</v>
      </c>
      <c r="N67" s="23">
        <v>2</v>
      </c>
      <c r="O67" s="21">
        <f aca="true" t="shared" si="1" ref="O67:O84">IF(A67="","",N67)</f>
      </c>
      <c r="P67" s="21">
        <f>IF(A67&gt;0,HLOOKUP(A67,D1:H81,67,FALSE),0)</f>
        <v>0</v>
      </c>
      <c r="Q67" s="43"/>
      <c r="R67" s="40"/>
    </row>
    <row r="68" spans="1:18" ht="15">
      <c r="A68" s="42"/>
      <c r="B68" s="23" t="s">
        <v>65</v>
      </c>
      <c r="C68" s="22">
        <f>IF(OR(A74&lt;&gt;"",A46&lt;&gt;"",A13&lt;&gt;"",A4&lt;&gt;""),"E","")</f>
      </c>
      <c r="D68" s="23">
        <v>1</v>
      </c>
      <c r="E68" s="23">
        <v>5</v>
      </c>
      <c r="F68" s="23">
        <v>10</v>
      </c>
      <c r="G68" s="23">
        <v>23</v>
      </c>
      <c r="H68" s="23">
        <v>38</v>
      </c>
      <c r="I68" s="23">
        <v>2</v>
      </c>
      <c r="J68" s="23">
        <v>8</v>
      </c>
      <c r="K68" s="23">
        <v>15</v>
      </c>
      <c r="L68" s="23">
        <v>30</v>
      </c>
      <c r="M68" s="23">
        <v>45</v>
      </c>
      <c r="N68" s="23">
        <v>3</v>
      </c>
      <c r="O68" s="21">
        <f t="shared" si="1"/>
      </c>
      <c r="P68" s="21">
        <f>IF(A68&gt;0,HLOOKUP(A68,D1:H81,68,FALSE),0)</f>
        <v>0</v>
      </c>
      <c r="Q68" s="43"/>
      <c r="R68" s="40">
        <f>IF(O68="","","ÍrásGY")</f>
      </c>
    </row>
    <row r="69" spans="1:18" ht="15">
      <c r="A69" s="42"/>
      <c r="B69" s="23" t="s">
        <v>66</v>
      </c>
      <c r="C69" s="22"/>
      <c r="D69" s="23">
        <v>1</v>
      </c>
      <c r="E69" s="23">
        <v>3</v>
      </c>
      <c r="F69" s="23">
        <v>6</v>
      </c>
      <c r="G69" s="23">
        <v>14</v>
      </c>
      <c r="H69" s="23">
        <v>24</v>
      </c>
      <c r="I69" s="23">
        <v>1</v>
      </c>
      <c r="J69" s="23">
        <v>5</v>
      </c>
      <c r="K69" s="23">
        <v>10</v>
      </c>
      <c r="L69" s="23">
        <v>20</v>
      </c>
      <c r="M69" s="23">
        <v>30</v>
      </c>
      <c r="N69" s="23">
        <v>2</v>
      </c>
      <c r="O69" s="21">
        <f t="shared" si="1"/>
      </c>
      <c r="P69" s="21">
        <f>IF(A69&gt;0,HLOOKUP(A69,D1:H81,69,FALSE),0)</f>
        <v>0</v>
      </c>
      <c r="Q69" s="43"/>
      <c r="R69" s="40"/>
    </row>
    <row r="70" spans="1:18" ht="15">
      <c r="A70" s="42"/>
      <c r="B70" s="23" t="s">
        <v>67</v>
      </c>
      <c r="C70" s="22"/>
      <c r="D70" s="23">
        <v>1</v>
      </c>
      <c r="E70" s="23">
        <v>2</v>
      </c>
      <c r="F70" s="23">
        <v>5</v>
      </c>
      <c r="G70" s="23">
        <v>10</v>
      </c>
      <c r="H70" s="23">
        <v>20</v>
      </c>
      <c r="I70" s="23">
        <v>1</v>
      </c>
      <c r="J70" s="23">
        <v>3</v>
      </c>
      <c r="K70" s="23">
        <v>8</v>
      </c>
      <c r="L70" s="23">
        <v>15</v>
      </c>
      <c r="M70" s="23">
        <v>25</v>
      </c>
      <c r="N70" s="23">
        <v>1</v>
      </c>
      <c r="O70" s="21">
        <f t="shared" si="1"/>
      </c>
      <c r="P70" s="21">
        <f>IF(A70&gt;0,HLOOKUP(A70,D1:H81,70,FALSE),0)</f>
        <v>0</v>
      </c>
      <c r="Q70" s="43"/>
      <c r="R70" s="40"/>
    </row>
    <row r="71" spans="1:18" ht="15">
      <c r="A71" s="42"/>
      <c r="B71" s="23" t="s">
        <v>68</v>
      </c>
      <c r="C71" s="22"/>
      <c r="D71" s="23">
        <v>1</v>
      </c>
      <c r="E71" s="23">
        <v>5</v>
      </c>
      <c r="F71" s="23">
        <v>10</v>
      </c>
      <c r="G71" s="23">
        <v>23</v>
      </c>
      <c r="H71" s="23">
        <v>38</v>
      </c>
      <c r="I71" s="23">
        <v>2</v>
      </c>
      <c r="J71" s="23">
        <v>8</v>
      </c>
      <c r="K71" s="23">
        <v>15</v>
      </c>
      <c r="L71" s="23">
        <v>30</v>
      </c>
      <c r="M71" s="23">
        <v>45</v>
      </c>
      <c r="N71" s="23">
        <v>3</v>
      </c>
      <c r="O71" s="21">
        <f t="shared" si="1"/>
      </c>
      <c r="P71" s="21">
        <f>IF(A71&gt;0,HLOOKUP(A71,D1:H81,71,FALSE),0)</f>
        <v>0</v>
      </c>
      <c r="Q71" s="43"/>
      <c r="R71" s="40">
        <f>IF(O71="","","LélektanE")</f>
      </c>
    </row>
    <row r="72" spans="1:18" ht="15">
      <c r="A72" s="42"/>
      <c r="B72" s="23" t="s">
        <v>69</v>
      </c>
      <c r="C72" s="22"/>
      <c r="D72" s="23">
        <v>1</v>
      </c>
      <c r="E72" s="23">
        <v>3</v>
      </c>
      <c r="F72" s="23">
        <v>6</v>
      </c>
      <c r="G72" s="23">
        <v>14</v>
      </c>
      <c r="H72" s="23">
        <v>24</v>
      </c>
      <c r="I72" s="23">
        <v>1</v>
      </c>
      <c r="J72" s="23">
        <v>5</v>
      </c>
      <c r="K72" s="23">
        <v>10</v>
      </c>
      <c r="L72" s="23">
        <v>20</v>
      </c>
      <c r="M72" s="23">
        <v>30</v>
      </c>
      <c r="N72" s="23">
        <v>2</v>
      </c>
      <c r="O72" s="21">
        <f>IF(A72="","",N72)</f>
      </c>
      <c r="P72" s="21">
        <f>IF(A72&gt;0,HLOOKUP(A72,D1:H81,72,FALSE),0)</f>
        <v>0</v>
      </c>
      <c r="Q72" s="43"/>
      <c r="R72" s="40"/>
    </row>
    <row r="73" spans="1:18" ht="15">
      <c r="A73" s="42"/>
      <c r="B73" s="23" t="s">
        <v>70</v>
      </c>
      <c r="C73" s="22"/>
      <c r="D73" s="23">
        <v>1</v>
      </c>
      <c r="E73" s="23">
        <v>6</v>
      </c>
      <c r="F73" s="23">
        <v>14</v>
      </c>
      <c r="G73" s="23">
        <v>27</v>
      </c>
      <c r="H73" s="23">
        <v>47</v>
      </c>
      <c r="I73" s="23">
        <v>3</v>
      </c>
      <c r="J73" s="23">
        <v>10</v>
      </c>
      <c r="K73" s="23">
        <v>20</v>
      </c>
      <c r="L73" s="23">
        <v>35</v>
      </c>
      <c r="M73" s="23">
        <v>55</v>
      </c>
      <c r="N73" s="23">
        <v>4</v>
      </c>
      <c r="O73" s="21">
        <f t="shared" si="1"/>
      </c>
      <c r="P73" s="21">
        <f>IF(A73&gt;0,HLOOKUP(A73,D1:H81,73,FALSE),0)</f>
        <v>0</v>
      </c>
      <c r="Q73" s="43"/>
      <c r="R73" s="40"/>
    </row>
    <row r="74" spans="1:18" ht="15">
      <c r="A74" s="42"/>
      <c r="B74" s="23" t="s">
        <v>71</v>
      </c>
      <c r="C74" s="22">
        <f>IF(A20&lt;&gt;"","GY","")</f>
      </c>
      <c r="D74" s="23">
        <v>1</v>
      </c>
      <c r="E74" s="23">
        <v>5</v>
      </c>
      <c r="F74" s="23">
        <v>10</v>
      </c>
      <c r="G74" s="23">
        <v>23</v>
      </c>
      <c r="H74" s="23">
        <v>38</v>
      </c>
      <c r="I74" s="23">
        <v>2</v>
      </c>
      <c r="J74" s="23">
        <v>8</v>
      </c>
      <c r="K74" s="23">
        <v>15</v>
      </c>
      <c r="L74" s="23">
        <v>30</v>
      </c>
      <c r="M74" s="23">
        <v>45</v>
      </c>
      <c r="N74" s="23">
        <v>3</v>
      </c>
      <c r="O74" s="21">
        <f t="shared" si="1"/>
      </c>
      <c r="P74" s="21">
        <f>IF(A74&gt;0,HLOOKUP(A74,D1:H81,74,FALSE),0)</f>
        <v>0</v>
      </c>
      <c r="Q74" s="43"/>
      <c r="R74" s="40">
        <f>IF(O74="","","SzámtanE MűvészetGY")</f>
      </c>
    </row>
    <row r="75" spans="1:18" ht="15">
      <c r="A75" s="42"/>
      <c r="B75" s="23" t="s">
        <v>72</v>
      </c>
      <c r="C75" s="22">
        <f>IF(A59&lt;&gt;"","GY","")</f>
      </c>
      <c r="D75" s="23">
        <v>1</v>
      </c>
      <c r="E75" s="23">
        <v>3</v>
      </c>
      <c r="F75" s="23">
        <v>6</v>
      </c>
      <c r="G75" s="23">
        <v>14</v>
      </c>
      <c r="H75" s="23">
        <v>24</v>
      </c>
      <c r="I75" s="23">
        <v>1</v>
      </c>
      <c r="J75" s="23">
        <v>5</v>
      </c>
      <c r="K75" s="23">
        <v>10</v>
      </c>
      <c r="L75" s="23">
        <v>20</v>
      </c>
      <c r="M75" s="23">
        <v>30</v>
      </c>
      <c r="N75" s="23">
        <v>2</v>
      </c>
      <c r="O75" s="21">
        <f t="shared" si="1"/>
      </c>
      <c r="P75" s="21">
        <f>IF(A75&gt;0,HLOOKUP(A75,D1:H81,75,FALSE),0)</f>
        <v>0</v>
      </c>
      <c r="Q75" s="43"/>
      <c r="R75" s="40">
        <f>IF(O75="","","ÍrásGY")</f>
      </c>
    </row>
    <row r="76" spans="1:18" ht="15">
      <c r="A76" s="42"/>
      <c r="B76" s="23" t="s">
        <v>73</v>
      </c>
      <c r="C76" s="22">
        <f>IF(OR(A59&lt;&gt;"",A58&lt;&gt;""),"E","")</f>
      </c>
      <c r="D76" s="23">
        <v>1</v>
      </c>
      <c r="E76" s="23">
        <v>3</v>
      </c>
      <c r="F76" s="23">
        <v>6</v>
      </c>
      <c r="G76" s="23">
        <v>14</v>
      </c>
      <c r="H76" s="23">
        <v>24</v>
      </c>
      <c r="I76" s="23">
        <v>1</v>
      </c>
      <c r="J76" s="23">
        <v>5</v>
      </c>
      <c r="K76" s="23">
        <v>10</v>
      </c>
      <c r="L76" s="23">
        <v>20</v>
      </c>
      <c r="M76" s="23">
        <v>30</v>
      </c>
      <c r="N76" s="23">
        <v>2</v>
      </c>
      <c r="O76" s="21">
        <f t="shared" si="1"/>
      </c>
      <c r="P76" s="21">
        <f>IF(A76&gt;0,HLOOKUP(A76,D1:H81,76,FALSE),0)</f>
        <v>0</v>
      </c>
      <c r="Q76" s="43"/>
      <c r="R76" s="40">
        <f>IF(O76="","","KultúraE")</f>
      </c>
    </row>
    <row r="77" spans="1:18" ht="15">
      <c r="A77" s="42"/>
      <c r="B77" s="23" t="s">
        <v>74</v>
      </c>
      <c r="C77" s="22"/>
      <c r="D77" s="23">
        <v>1</v>
      </c>
      <c r="E77" s="23">
        <v>2</v>
      </c>
      <c r="F77" s="23">
        <v>5</v>
      </c>
      <c r="G77" s="23">
        <v>10</v>
      </c>
      <c r="H77" s="23">
        <v>20</v>
      </c>
      <c r="I77" s="23">
        <v>1</v>
      </c>
      <c r="J77" s="23">
        <v>3</v>
      </c>
      <c r="K77" s="23">
        <v>8</v>
      </c>
      <c r="L77" s="23">
        <v>15</v>
      </c>
      <c r="M77" s="23">
        <v>25</v>
      </c>
      <c r="N77" s="23">
        <v>1</v>
      </c>
      <c r="O77" s="21">
        <f t="shared" si="1"/>
      </c>
      <c r="P77" s="21">
        <f>IF(A77&gt;0,HLOOKUP(A77,D1:H81,77,FALSE),0)</f>
        <v>0</v>
      </c>
      <c r="Q77" s="43"/>
      <c r="R77" s="40"/>
    </row>
    <row r="78" spans="1:18" ht="15">
      <c r="A78" s="42"/>
      <c r="B78" s="23" t="s">
        <v>75</v>
      </c>
      <c r="C78" s="22"/>
      <c r="D78" s="23">
        <v>1</v>
      </c>
      <c r="E78" s="23">
        <v>3</v>
      </c>
      <c r="F78" s="23">
        <v>6</v>
      </c>
      <c r="G78" s="23">
        <v>14</v>
      </c>
      <c r="H78" s="23">
        <v>24</v>
      </c>
      <c r="I78" s="23">
        <v>1</v>
      </c>
      <c r="J78" s="23">
        <v>5</v>
      </c>
      <c r="K78" s="23">
        <v>10</v>
      </c>
      <c r="L78" s="23">
        <v>20</v>
      </c>
      <c r="M78" s="23">
        <v>30</v>
      </c>
      <c r="N78" s="23">
        <v>2</v>
      </c>
      <c r="O78" s="21">
        <f t="shared" si="1"/>
      </c>
      <c r="P78" s="21">
        <f>IF(A78&gt;0,HLOOKUP(A78,D1:H81,78,FALSE),0)</f>
        <v>0</v>
      </c>
      <c r="Q78" s="43"/>
      <c r="R78" s="40">
        <f>IF(O78="","","ÁllatismeretGY HerbalizmusGY")</f>
      </c>
    </row>
    <row r="79" spans="1:18" ht="15">
      <c r="A79" s="42"/>
      <c r="B79" s="23" t="s">
        <v>76</v>
      </c>
      <c r="C79" s="22"/>
      <c r="D79" s="23">
        <v>1</v>
      </c>
      <c r="E79" s="23">
        <v>5</v>
      </c>
      <c r="F79" s="23">
        <v>10</v>
      </c>
      <c r="G79" s="23">
        <v>23</v>
      </c>
      <c r="H79" s="23">
        <v>38</v>
      </c>
      <c r="I79" s="23">
        <v>2</v>
      </c>
      <c r="J79" s="23">
        <v>8</v>
      </c>
      <c r="K79" s="23">
        <v>15</v>
      </c>
      <c r="L79" s="23">
        <v>30</v>
      </c>
      <c r="M79" s="23">
        <v>45</v>
      </c>
      <c r="N79" s="23">
        <v>3</v>
      </c>
      <c r="O79" s="21">
        <f t="shared" si="1"/>
      </c>
      <c r="P79" s="21">
        <f>IF(A79&gt;0,HLOOKUP(A79,D1:H81,79,FALSE),0)</f>
        <v>0</v>
      </c>
      <c r="Q79" s="43"/>
      <c r="R79" s="40"/>
    </row>
    <row r="80" spans="1:18" ht="15">
      <c r="A80" s="42"/>
      <c r="B80" s="23" t="s">
        <v>77</v>
      </c>
      <c r="C80" s="22"/>
      <c r="D80" s="23">
        <v>1</v>
      </c>
      <c r="E80" s="23">
        <v>3</v>
      </c>
      <c r="F80" s="23">
        <v>6</v>
      </c>
      <c r="G80" s="23">
        <v>14</v>
      </c>
      <c r="H80" s="23">
        <v>24</v>
      </c>
      <c r="I80" s="23">
        <v>1</v>
      </c>
      <c r="J80" s="23">
        <v>5</v>
      </c>
      <c r="K80" s="23">
        <v>10</v>
      </c>
      <c r="L80" s="23">
        <v>20</v>
      </c>
      <c r="M80" s="23">
        <v>30</v>
      </c>
      <c r="N80" s="23">
        <v>2</v>
      </c>
      <c r="O80" s="21">
        <f t="shared" si="1"/>
      </c>
      <c r="P80" s="21">
        <f>IF(A80&gt;0,HLOOKUP(A80,D1:H81,80,FALSE),0)</f>
        <v>0</v>
      </c>
      <c r="Q80" s="43"/>
      <c r="R80" s="40">
        <f>IF(O80="","","KultúraE")</f>
      </c>
    </row>
    <row r="81" spans="1:18" ht="15">
      <c r="A81" s="42"/>
      <c r="B81" s="23" t="s">
        <v>78</v>
      </c>
      <c r="C81" s="22"/>
      <c r="D81" s="23">
        <v>1</v>
      </c>
      <c r="E81" s="23">
        <v>3</v>
      </c>
      <c r="F81" s="23">
        <v>6</v>
      </c>
      <c r="G81" s="23">
        <v>14</v>
      </c>
      <c r="H81" s="23">
        <v>24</v>
      </c>
      <c r="I81" s="23">
        <v>1</v>
      </c>
      <c r="J81" s="23">
        <v>5</v>
      </c>
      <c r="K81" s="23">
        <v>10</v>
      </c>
      <c r="L81" s="23">
        <v>20</v>
      </c>
      <c r="M81" s="23">
        <v>30</v>
      </c>
      <c r="N81" s="23">
        <v>2</v>
      </c>
      <c r="O81" s="21">
        <f t="shared" si="1"/>
      </c>
      <c r="P81" s="21">
        <f>IF(A81&gt;0,HLOOKUP(A81,D1:H81,81,FALSE),0)</f>
        <v>0</v>
      </c>
      <c r="Q81" s="43"/>
      <c r="R81" s="40"/>
    </row>
    <row r="82" spans="1:18" s="15" customFormat="1" ht="15">
      <c r="A82" s="42"/>
      <c r="B82" s="21" t="s">
        <v>125</v>
      </c>
      <c r="C82" s="22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>
        <v>1</v>
      </c>
      <c r="O82" s="21">
        <f t="shared" si="1"/>
      </c>
      <c r="P82" s="21">
        <f>IF(A82&gt;0,A82/5,0)</f>
        <v>0</v>
      </c>
      <c r="Q82" s="43"/>
      <c r="R82" s="40"/>
    </row>
    <row r="83" spans="1:18" s="15" customFormat="1" ht="15">
      <c r="A83" s="42"/>
      <c r="B83" s="21" t="s">
        <v>126</v>
      </c>
      <c r="C83" s="22">
        <f>IF(A66&lt;&gt;"","GY","")</f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>
        <v>1</v>
      </c>
      <c r="O83" s="21">
        <f t="shared" si="1"/>
      </c>
      <c r="P83" s="21">
        <f>IF(A83&gt;0,A83/5,0)</f>
        <v>0</v>
      </c>
      <c r="Q83" s="43"/>
      <c r="R83" s="40"/>
    </row>
    <row r="84" spans="1:18" s="15" customFormat="1" ht="15">
      <c r="A84" s="42"/>
      <c r="B84" s="21" t="s">
        <v>127</v>
      </c>
      <c r="C84" s="22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>
        <v>1</v>
      </c>
      <c r="O84" s="21">
        <f t="shared" si="1"/>
      </c>
      <c r="P84" s="21">
        <f>IF(A84&gt;0,A84/5,0)</f>
        <v>0</v>
      </c>
      <c r="Q84" s="43"/>
      <c r="R84" s="40"/>
    </row>
    <row r="85" spans="1:18" ht="15">
      <c r="A85" s="27">
        <f>COUNTIF(A2:A84,"&gt;=0")</f>
        <v>0</v>
      </c>
      <c r="B85" s="28" t="s">
        <v>138</v>
      </c>
      <c r="C85" s="37"/>
      <c r="D85" s="33"/>
      <c r="E85" s="33"/>
      <c r="F85" s="33"/>
      <c r="G85" s="33"/>
      <c r="H85" s="33"/>
      <c r="I85" s="33"/>
      <c r="J85" s="33"/>
      <c r="K85" s="34"/>
      <c r="L85" s="20"/>
      <c r="M85" s="20"/>
      <c r="N85" s="20"/>
      <c r="O85" s="29">
        <f>SUM(O2:O84)</f>
        <v>0</v>
      </c>
      <c r="P85" s="29">
        <f>SUM(P2:P84)</f>
        <v>0</v>
      </c>
      <c r="Q85" s="29">
        <f>SUM(Q2:Q84)</f>
        <v>0</v>
      </c>
      <c r="R85" s="41"/>
    </row>
    <row r="86" spans="1:18" ht="15">
      <c r="A86" s="33"/>
      <c r="B86" s="33"/>
      <c r="C86" s="35"/>
      <c r="D86" s="35"/>
      <c r="E86" s="35"/>
      <c r="F86" s="35"/>
      <c r="G86" s="35"/>
      <c r="H86" s="35"/>
      <c r="I86" s="35"/>
      <c r="J86" s="35"/>
      <c r="K86" s="36"/>
      <c r="L86" s="30" t="s">
        <v>139</v>
      </c>
      <c r="M86" s="38"/>
      <c r="N86" s="39"/>
      <c r="O86" s="31" t="s">
        <v>128</v>
      </c>
      <c r="P86" s="32" t="s">
        <v>0</v>
      </c>
      <c r="Q86" s="32" t="s">
        <v>134</v>
      </c>
      <c r="R86" s="20"/>
    </row>
    <row r="87" ht="15">
      <c r="A87" s="16" t="s">
        <v>84</v>
      </c>
    </row>
    <row r="88" ht="15">
      <c r="A88" t="s">
        <v>130</v>
      </c>
    </row>
    <row r="89" ht="15">
      <c r="A89" t="s">
        <v>132</v>
      </c>
    </row>
    <row r="90" ht="15">
      <c r="A90" t="s">
        <v>136</v>
      </c>
    </row>
  </sheetData>
  <sheetProtection sheet="1" objects="1" scenarios="1"/>
  <dataValidations count="2">
    <dataValidation type="whole" allowBlank="1" showErrorMessage="1" error="Csak 0-5 közötti számot adhatsz meg!" sqref="A3:A6 A65:A81 A46:A62 A43:A44 A16:A41 A8:A14">
      <formula1>0</formula1>
      <formula2>5</formula2>
    </dataValidation>
    <dataValidation type="whole" allowBlank="1" showErrorMessage="1" error="Csak 0-40 közötti számot adhatsz meg!" sqref="A2 A82:A84 A63:A64 A45 A42 A15 A7">
      <formula1>0</formula1>
      <formula2>40</formula2>
    </dataValidation>
  </dataValidation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:F2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76.28125" style="1" customWidth="1"/>
    <col min="2" max="3" width="9.140625" style="1" customWidth="1"/>
    <col min="4" max="4" width="2.7109375" style="1" customWidth="1"/>
    <col min="5" max="5" width="3.8515625" style="1" customWidth="1"/>
    <col min="6" max="16384" width="9.140625" style="1" customWidth="1"/>
  </cols>
  <sheetData>
    <row r="1" ht="13.5" thickBot="1">
      <c r="A1" s="2" t="s">
        <v>82</v>
      </c>
    </row>
    <row r="2" spans="1:5" ht="12.75">
      <c r="A2" s="3"/>
      <c r="B2" s="4" t="s">
        <v>83</v>
      </c>
      <c r="C2" s="5" t="s">
        <v>79</v>
      </c>
      <c r="E2" s="6" t="s">
        <v>84</v>
      </c>
    </row>
    <row r="3" spans="1:5" ht="15">
      <c r="A3" s="7" t="s">
        <v>85</v>
      </c>
      <c r="B3" s="17">
        <f>(Képzettségek!P85+Képzettségek!Q85)</f>
        <v>0</v>
      </c>
      <c r="C3" s="8">
        <f>ROUND((B3/2),0)</f>
        <v>0</v>
      </c>
      <c r="E3" s="1" t="s">
        <v>86</v>
      </c>
    </row>
    <row r="4" spans="1:6" ht="15">
      <c r="A4" s="7" t="s">
        <v>87</v>
      </c>
      <c r="B4" s="17">
        <f>(Képzettségek!O85)</f>
        <v>0</v>
      </c>
      <c r="C4" s="8">
        <f>ROUND((B4/4),0)</f>
        <v>0</v>
      </c>
      <c r="F4" s="1" t="s">
        <v>88</v>
      </c>
    </row>
    <row r="5" spans="1:6" ht="15">
      <c r="A5" s="7" t="s">
        <v>89</v>
      </c>
      <c r="B5" s="44"/>
      <c r="C5" s="8">
        <f>B5*10</f>
        <v>0</v>
      </c>
      <c r="F5" s="1" t="s">
        <v>90</v>
      </c>
    </row>
    <row r="6" spans="1:6" ht="15">
      <c r="A6" s="7" t="s">
        <v>91</v>
      </c>
      <c r="B6" s="44"/>
      <c r="C6" s="8">
        <f>B6</f>
        <v>0</v>
      </c>
      <c r="F6" s="1" t="s">
        <v>92</v>
      </c>
    </row>
    <row r="7" spans="1:6" ht="15">
      <c r="A7" s="7" t="s">
        <v>93</v>
      </c>
      <c r="B7" s="44"/>
      <c r="C7" s="8">
        <f>B7</f>
        <v>0</v>
      </c>
      <c r="F7" s="1" t="s">
        <v>94</v>
      </c>
    </row>
    <row r="8" spans="1:3" ht="15">
      <c r="A8" s="7" t="s">
        <v>95</v>
      </c>
      <c r="B8" s="44"/>
      <c r="C8" s="8">
        <f>B8</f>
        <v>0</v>
      </c>
    </row>
    <row r="9" spans="1:5" ht="12.75">
      <c r="A9" s="7" t="s">
        <v>96</v>
      </c>
      <c r="B9" s="44"/>
      <c r="C9" s="8">
        <f>IF(B9&lt;&gt;0,IF(B9-B10&gt;1,B9-B10,1),0)</f>
        <v>0</v>
      </c>
      <c r="E9" s="1" t="s">
        <v>97</v>
      </c>
    </row>
    <row r="10" spans="1:6" ht="12.75">
      <c r="A10" s="7" t="s">
        <v>98</v>
      </c>
      <c r="B10" s="44"/>
      <c r="C10" s="9"/>
      <c r="F10" s="1" t="s">
        <v>99</v>
      </c>
    </row>
    <row r="11" spans="1:6" ht="12.75">
      <c r="A11" s="7" t="s">
        <v>100</v>
      </c>
      <c r="B11" s="44"/>
      <c r="C11" s="8">
        <f>IF(B11&lt;&gt;0,IF(B11-B12&gt;1,B11-B12,1),0)</f>
        <v>0</v>
      </c>
      <c r="F11" s="1" t="s">
        <v>101</v>
      </c>
    </row>
    <row r="12" spans="1:3" ht="12.75">
      <c r="A12" s="7" t="s">
        <v>98</v>
      </c>
      <c r="B12" s="44"/>
      <c r="C12" s="9"/>
    </row>
    <row r="13" spans="1:5" ht="12.75">
      <c r="A13" s="7" t="s">
        <v>102</v>
      </c>
      <c r="B13" s="44"/>
      <c r="C13" s="8">
        <f>IF(B13&lt;&gt;0,IF(B13-B14&gt;1,B13-B114,1),0)</f>
        <v>0</v>
      </c>
      <c r="E13" s="1" t="s">
        <v>103</v>
      </c>
    </row>
    <row r="14" spans="1:6" ht="12.75">
      <c r="A14" s="7" t="s">
        <v>98</v>
      </c>
      <c r="B14" s="44"/>
      <c r="C14" s="9"/>
      <c r="F14" s="1" t="s">
        <v>104</v>
      </c>
    </row>
    <row r="15" spans="1:6" ht="12.75">
      <c r="A15" s="7" t="s">
        <v>105</v>
      </c>
      <c r="B15" s="44"/>
      <c r="C15" s="8">
        <f>IF(B15&lt;&gt;0,IF(B15/4*B16/(B17-1)/4&gt;1,ROUND((B15/4*B16/(B17-1)/4),0),1),0)</f>
        <v>0</v>
      </c>
      <c r="F15" s="1" t="s">
        <v>106</v>
      </c>
    </row>
    <row r="16" spans="1:6" ht="12.75">
      <c r="A16" s="7" t="s">
        <v>107</v>
      </c>
      <c r="B16" s="44"/>
      <c r="C16" s="10"/>
      <c r="F16" s="1" t="s">
        <v>108</v>
      </c>
    </row>
    <row r="17" spans="1:6" ht="12.75">
      <c r="A17" s="7" t="s">
        <v>109</v>
      </c>
      <c r="B17" s="44"/>
      <c r="C17" s="11"/>
      <c r="F17" s="1" t="s">
        <v>110</v>
      </c>
    </row>
    <row r="18" spans="1:6" ht="12.75">
      <c r="A18" s="7" t="s">
        <v>111</v>
      </c>
      <c r="B18" s="44"/>
      <c r="C18" s="8">
        <f>IF(B18&lt;&gt;0,IF(B18/4*B19/(B20-1)/4&gt;1,ROUND((B18/4*B19/(B20-1)/4),0),1),0)</f>
        <v>0</v>
      </c>
      <c r="F18" s="1" t="s">
        <v>112</v>
      </c>
    </row>
    <row r="19" spans="1:3" ht="12.75">
      <c r="A19" s="7" t="s">
        <v>107</v>
      </c>
      <c r="B19" s="44"/>
      <c r="C19" s="10"/>
    </row>
    <row r="20" spans="1:3" ht="12.75">
      <c r="A20" s="7" t="s">
        <v>109</v>
      </c>
      <c r="B20" s="44"/>
      <c r="C20" s="11"/>
    </row>
    <row r="21" spans="1:3" ht="12.75">
      <c r="A21" s="7" t="s">
        <v>113</v>
      </c>
      <c r="B21" s="44"/>
      <c r="C21" s="8">
        <f>IF(B21&lt;&gt;0,IF(B21*10-B21*(B22-1)&gt;1,B21*10-B21*(B22-1),1),0)</f>
        <v>0</v>
      </c>
    </row>
    <row r="22" spans="1:3" ht="12.75">
      <c r="A22" s="7" t="s">
        <v>114</v>
      </c>
      <c r="B22" s="44"/>
      <c r="C22" s="9"/>
    </row>
    <row r="23" spans="1:3" ht="12.75">
      <c r="A23" s="7" t="s">
        <v>115</v>
      </c>
      <c r="B23" s="44"/>
      <c r="C23" s="8">
        <f>IF(B23&lt;&gt;0,IF(B23*10-B23*(B24-1)&gt;1,B23*10-B23*(B24-1),1),0)</f>
        <v>0</v>
      </c>
    </row>
    <row r="24" spans="1:3" ht="12.75">
      <c r="A24" s="7" t="s">
        <v>114</v>
      </c>
      <c r="B24" s="44"/>
      <c r="C24" s="9"/>
    </row>
    <row r="25" spans="1:3" ht="16.5" thickBot="1">
      <c r="A25" s="12" t="s">
        <v>116</v>
      </c>
      <c r="B25" s="13">
        <f>ROUND(C25/10,0)</f>
        <v>0</v>
      </c>
      <c r="C25" s="14">
        <f>SUM(C3:C24)</f>
        <v>0</v>
      </c>
    </row>
    <row r="26" ht="12.75"/>
    <row r="27" ht="12.75"/>
    <row r="28" ht="12.75"/>
    <row r="29" ht="12.75">
      <c r="A29" s="6" t="s">
        <v>117</v>
      </c>
    </row>
  </sheetData>
  <sheetProtection sheet="1" objects="1"/>
  <printOptions/>
  <pageMargins left="0.75" right="0.75" top="1" bottom="1" header="0.5" footer="0.5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Aromo</dc:creator>
  <cp:keywords/>
  <dc:description/>
  <cp:lastModifiedBy>Don Selmo</cp:lastModifiedBy>
  <cp:lastPrinted>2008-01-15T12:33:06Z</cp:lastPrinted>
  <dcterms:created xsi:type="dcterms:W3CDTF">2008-01-13T21:23:12Z</dcterms:created>
  <dcterms:modified xsi:type="dcterms:W3CDTF">2011-01-21T15:16:50Z</dcterms:modified>
  <cp:category/>
  <cp:version/>
  <cp:contentType/>
  <cp:contentStatus/>
</cp:coreProperties>
</file>